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tt\FPSB\FP Canada Cases\Videos Materials\"/>
    </mc:Choice>
  </mc:AlternateContent>
  <xr:revisionPtr revIDLastSave="0" documentId="13_ncr:1_{EBEE642C-0C38-45B6-BB2A-AF579F8192D3}" xr6:coauthVersionLast="44" xr6:coauthVersionMax="44" xr10:uidLastSave="{00000000-0000-0000-0000-000000000000}"/>
  <bookViews>
    <workbookView xWindow="-108" yWindow="-108" windowWidth="23256" windowHeight="12576" xr2:uid="{1ECBA592-EF8B-4F35-9AD2-473DA5912885}"/>
  </bookViews>
  <sheets>
    <sheet name="FP Canada Data" sheetId="1" r:id="rId1"/>
    <sheet name="Rework for MCQs" sheetId="2" state="hidden" r:id="rId2"/>
    <sheet name="2" sheetId="4" state="hidden" r:id="rId3"/>
    <sheet name="Ted" sheetId="5" r:id="rId4"/>
    <sheet name="Rework for MCQs (2)" sheetId="3" state="hidden" r:id="rId5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6" i="1" l="1"/>
  <c r="F154" i="1"/>
  <c r="E154" i="1"/>
  <c r="F79" i="1"/>
  <c r="F102" i="5"/>
  <c r="C25" i="5"/>
  <c r="C24" i="5"/>
  <c r="C16" i="5"/>
  <c r="I22" i="5"/>
  <c r="F64" i="5"/>
  <c r="G64" i="5"/>
  <c r="I18" i="5"/>
  <c r="F65" i="5"/>
  <c r="G65" i="5"/>
  <c r="F66" i="5"/>
  <c r="G66" i="5"/>
  <c r="F67" i="5"/>
  <c r="G67" i="5"/>
  <c r="G68" i="5"/>
  <c r="G145" i="5"/>
  <c r="F76" i="5"/>
  <c r="D74" i="5"/>
  <c r="F75" i="5"/>
  <c r="F70" i="5"/>
  <c r="F71" i="5"/>
  <c r="F72" i="5"/>
  <c r="F77" i="5"/>
  <c r="F79" i="5"/>
  <c r="F82" i="5"/>
  <c r="F81" i="5"/>
  <c r="K51" i="5"/>
  <c r="K52" i="5"/>
  <c r="F83" i="5"/>
  <c r="F85" i="5"/>
  <c r="F88" i="5"/>
  <c r="D86" i="5"/>
  <c r="F87" i="5"/>
  <c r="F89" i="5"/>
  <c r="F91" i="5"/>
  <c r="F92" i="5"/>
  <c r="G92" i="5"/>
  <c r="G146" i="5"/>
  <c r="F107" i="5"/>
  <c r="F95" i="5"/>
  <c r="F106" i="5"/>
  <c r="C32" i="5"/>
  <c r="F101" i="5"/>
  <c r="F96" i="5"/>
  <c r="F97" i="5"/>
  <c r="F99" i="5"/>
  <c r="F103" i="5"/>
  <c r="F105" i="5"/>
  <c r="F109" i="5"/>
  <c r="F110" i="5"/>
  <c r="F111" i="5"/>
  <c r="F112" i="5"/>
  <c r="F126" i="5"/>
  <c r="D120" i="5"/>
  <c r="D125" i="5"/>
  <c r="D119" i="5"/>
  <c r="F114" i="5"/>
  <c r="F125" i="5"/>
  <c r="F121" i="5"/>
  <c r="F120" i="5"/>
  <c r="F115" i="5"/>
  <c r="F116" i="5"/>
  <c r="F118" i="5"/>
  <c r="F122" i="5"/>
  <c r="F124" i="5"/>
  <c r="F128" i="5"/>
  <c r="F129" i="5"/>
  <c r="F130" i="5"/>
  <c r="F131" i="5"/>
  <c r="F132" i="5"/>
  <c r="G132" i="5"/>
  <c r="G147" i="5"/>
  <c r="F135" i="5"/>
  <c r="G135" i="5"/>
  <c r="G140" i="5"/>
  <c r="G134" i="5"/>
  <c r="G139" i="5"/>
  <c r="F136" i="5"/>
  <c r="G136" i="5"/>
  <c r="G138" i="5"/>
  <c r="G142" i="5"/>
  <c r="G143" i="5"/>
  <c r="G148" i="5"/>
  <c r="C41" i="5"/>
  <c r="C42" i="5"/>
  <c r="F149" i="5"/>
  <c r="G149" i="5"/>
  <c r="G150" i="5"/>
  <c r="F68" i="5"/>
  <c r="F145" i="5"/>
  <c r="F146" i="5"/>
  <c r="F147" i="5"/>
  <c r="F140" i="5"/>
  <c r="F134" i="5"/>
  <c r="F139" i="5"/>
  <c r="F137" i="5"/>
  <c r="F138" i="5"/>
  <c r="F142" i="5"/>
  <c r="F143" i="5"/>
  <c r="F148" i="5"/>
  <c r="F150" i="5"/>
  <c r="G3" i="5"/>
  <c r="G63" i="5"/>
  <c r="G133" i="5"/>
  <c r="G144" i="5"/>
  <c r="F3" i="5"/>
  <c r="F63" i="5"/>
  <c r="F133" i="5"/>
  <c r="F144" i="5"/>
  <c r="C124" i="5"/>
  <c r="C74" i="5"/>
  <c r="D73" i="5"/>
  <c r="I30" i="5"/>
  <c r="J30" i="5"/>
  <c r="K30" i="5"/>
  <c r="I31" i="5"/>
  <c r="J31" i="5"/>
  <c r="K31" i="5"/>
  <c r="I33" i="5"/>
  <c r="J33" i="5"/>
  <c r="K33" i="5"/>
  <c r="K35" i="5"/>
  <c r="K37" i="5"/>
  <c r="K38" i="5"/>
  <c r="K39" i="5"/>
  <c r="K40" i="5"/>
  <c r="K42" i="5"/>
  <c r="K43" i="5"/>
  <c r="K44" i="5"/>
  <c r="K45" i="5"/>
  <c r="K47" i="5"/>
  <c r="K48" i="5"/>
  <c r="K49" i="5"/>
  <c r="K54" i="5"/>
  <c r="K55" i="5"/>
  <c r="K56" i="5"/>
  <c r="K58" i="5"/>
  <c r="K60" i="5"/>
  <c r="H30" i="5"/>
  <c r="H31" i="5"/>
  <c r="H33" i="5"/>
  <c r="H35" i="5"/>
  <c r="H40" i="5"/>
  <c r="H45" i="5"/>
  <c r="H49" i="5"/>
  <c r="H52" i="5"/>
  <c r="H56" i="5"/>
  <c r="H58" i="5"/>
  <c r="H60" i="5"/>
  <c r="I60" i="5"/>
  <c r="G60" i="5"/>
  <c r="I58" i="5"/>
  <c r="G58" i="5"/>
  <c r="I56" i="5"/>
  <c r="G56" i="5"/>
  <c r="I55" i="5"/>
  <c r="G55" i="5"/>
  <c r="I54" i="5"/>
  <c r="G54" i="5"/>
  <c r="I52" i="5"/>
  <c r="G52" i="5"/>
  <c r="I51" i="5"/>
  <c r="G51" i="5"/>
  <c r="C46" i="5"/>
  <c r="C50" i="5"/>
  <c r="I49" i="5"/>
  <c r="G49" i="5"/>
  <c r="I48" i="5"/>
  <c r="G48" i="5"/>
  <c r="I47" i="5"/>
  <c r="G47" i="5"/>
  <c r="I45" i="5"/>
  <c r="G45" i="5"/>
  <c r="I44" i="5"/>
  <c r="G44" i="5"/>
  <c r="I43" i="5"/>
  <c r="G43" i="5"/>
  <c r="I42" i="5"/>
  <c r="G42" i="5"/>
  <c r="I40" i="5"/>
  <c r="G40" i="5"/>
  <c r="I39" i="5"/>
  <c r="G39" i="5"/>
  <c r="I38" i="5"/>
  <c r="G38" i="5"/>
  <c r="I37" i="5"/>
  <c r="G37" i="5"/>
  <c r="C37" i="5"/>
  <c r="J35" i="5"/>
  <c r="I35" i="5"/>
  <c r="G35" i="5"/>
  <c r="F35" i="5"/>
  <c r="G29" i="5"/>
  <c r="J29" i="5"/>
  <c r="F29" i="5"/>
  <c r="I29" i="5"/>
  <c r="I4" i="5"/>
  <c r="I5" i="5"/>
  <c r="I6" i="5"/>
  <c r="I8" i="5"/>
  <c r="H9" i="5"/>
  <c r="I9" i="5"/>
  <c r="I10" i="5"/>
  <c r="I12" i="5"/>
  <c r="I13" i="5"/>
  <c r="I14" i="5"/>
  <c r="I16" i="5"/>
  <c r="I19" i="5"/>
  <c r="I20" i="5"/>
  <c r="I23" i="5"/>
  <c r="I24" i="5"/>
  <c r="I26" i="5"/>
  <c r="I27" i="5"/>
  <c r="H6" i="5"/>
  <c r="H10" i="5"/>
  <c r="H14" i="5"/>
  <c r="H16" i="5"/>
  <c r="H20" i="5"/>
  <c r="H24" i="5"/>
  <c r="H26" i="5"/>
  <c r="H27" i="5"/>
  <c r="G6" i="5"/>
  <c r="G10" i="5"/>
  <c r="G14" i="5"/>
  <c r="G16" i="5"/>
  <c r="G20" i="5"/>
  <c r="G24" i="5"/>
  <c r="G26" i="5"/>
  <c r="G27" i="5"/>
  <c r="F6" i="5"/>
  <c r="F10" i="5"/>
  <c r="F14" i="5"/>
  <c r="F16" i="5"/>
  <c r="F20" i="5"/>
  <c r="F24" i="5"/>
  <c r="F26" i="5"/>
  <c r="F27" i="5"/>
  <c r="F101" i="4"/>
  <c r="F125" i="4"/>
  <c r="F124" i="4"/>
  <c r="G124" i="4"/>
  <c r="G122" i="4"/>
  <c r="G127" i="4"/>
  <c r="F122" i="4"/>
  <c r="F127" i="4"/>
  <c r="F118" i="4"/>
  <c r="C112" i="4"/>
  <c r="D108" i="4"/>
  <c r="D113" i="4"/>
  <c r="D107" i="4"/>
  <c r="I108" i="4"/>
  <c r="F113" i="4"/>
  <c r="F105" i="4"/>
  <c r="I97" i="4"/>
  <c r="I110" i="4"/>
  <c r="I96" i="4"/>
  <c r="I99" i="4"/>
  <c r="F97" i="4"/>
  <c r="I95" i="4"/>
  <c r="F100" i="4"/>
  <c r="F95" i="4"/>
  <c r="F108" i="4"/>
  <c r="F87" i="4"/>
  <c r="D86" i="4"/>
  <c r="F81" i="4"/>
  <c r="D74" i="4"/>
  <c r="F75" i="4"/>
  <c r="C74" i="4"/>
  <c r="D73" i="4"/>
  <c r="F71" i="4"/>
  <c r="F70" i="4"/>
  <c r="F72" i="4"/>
  <c r="F77" i="4"/>
  <c r="F67" i="4"/>
  <c r="G67" i="4"/>
  <c r="G66" i="4"/>
  <c r="F66" i="4"/>
  <c r="F65" i="4"/>
  <c r="G65" i="4"/>
  <c r="H56" i="4"/>
  <c r="G56" i="4"/>
  <c r="K55" i="4"/>
  <c r="G55" i="4"/>
  <c r="K54" i="4"/>
  <c r="K56" i="4"/>
  <c r="H52" i="4"/>
  <c r="G52" i="4"/>
  <c r="K51" i="4"/>
  <c r="K52" i="4"/>
  <c r="F83" i="4"/>
  <c r="F89" i="4"/>
  <c r="H49" i="4"/>
  <c r="G49" i="4"/>
  <c r="K48" i="4"/>
  <c r="K49" i="4"/>
  <c r="K47" i="4"/>
  <c r="G47" i="4"/>
  <c r="C46" i="4"/>
  <c r="C50" i="4"/>
  <c r="H45" i="4"/>
  <c r="G45" i="4"/>
  <c r="K44" i="4"/>
  <c r="G44" i="4"/>
  <c r="K43" i="4"/>
  <c r="G43" i="4"/>
  <c r="K42" i="4"/>
  <c r="K45" i="4"/>
  <c r="C41" i="4"/>
  <c r="C42" i="4"/>
  <c r="F137" i="4"/>
  <c r="G137" i="4"/>
  <c r="H40" i="4"/>
  <c r="H58" i="4"/>
  <c r="G40" i="4"/>
  <c r="K39" i="4"/>
  <c r="G39" i="4"/>
  <c r="K38" i="4"/>
  <c r="K37" i="4"/>
  <c r="K40" i="4"/>
  <c r="K58" i="4"/>
  <c r="C37" i="4"/>
  <c r="H9" i="4"/>
  <c r="I9" i="4"/>
  <c r="I10" i="4"/>
  <c r="J35" i="4"/>
  <c r="G35" i="4"/>
  <c r="F35" i="4"/>
  <c r="J33" i="4"/>
  <c r="I33" i="4"/>
  <c r="K33" i="4"/>
  <c r="H33" i="4"/>
  <c r="J31" i="4"/>
  <c r="I31" i="4"/>
  <c r="K31" i="4"/>
  <c r="H31" i="4"/>
  <c r="J30" i="4"/>
  <c r="I30" i="4"/>
  <c r="I35" i="4"/>
  <c r="H30" i="4"/>
  <c r="G51" i="4"/>
  <c r="H24" i="4"/>
  <c r="G24" i="4"/>
  <c r="F24" i="4"/>
  <c r="C24" i="4"/>
  <c r="F123" i="4"/>
  <c r="I23" i="4"/>
  <c r="I24" i="4"/>
  <c r="I22" i="4"/>
  <c r="F64" i="4"/>
  <c r="H20" i="4"/>
  <c r="H26" i="4"/>
  <c r="G20" i="4"/>
  <c r="G26" i="4"/>
  <c r="F20" i="4"/>
  <c r="F26" i="4"/>
  <c r="I19" i="4"/>
  <c r="I18" i="4"/>
  <c r="I20" i="4"/>
  <c r="I26" i="4"/>
  <c r="C16" i="4"/>
  <c r="H14" i="4"/>
  <c r="G14" i="4"/>
  <c r="F14" i="4"/>
  <c r="F16" i="4"/>
  <c r="F27" i="4"/>
  <c r="I13" i="4"/>
  <c r="I14" i="4"/>
  <c r="I12" i="4"/>
  <c r="G10" i="4"/>
  <c r="F10" i="4"/>
  <c r="I8" i="4"/>
  <c r="H6" i="4"/>
  <c r="G6" i="4"/>
  <c r="G16" i="4"/>
  <c r="G27" i="4"/>
  <c r="F6" i="4"/>
  <c r="I5" i="4"/>
  <c r="I4" i="4"/>
  <c r="I6" i="4"/>
  <c r="G3" i="4"/>
  <c r="G63" i="4"/>
  <c r="G121" i="4"/>
  <c r="G132" i="4"/>
  <c r="F3" i="4"/>
  <c r="F29" i="4"/>
  <c r="I29" i="4"/>
  <c r="F76" i="2"/>
  <c r="F76" i="3"/>
  <c r="F114" i="3"/>
  <c r="F101" i="2"/>
  <c r="F125" i="3"/>
  <c r="F124" i="3"/>
  <c r="G124" i="3"/>
  <c r="G122" i="3"/>
  <c r="G127" i="3"/>
  <c r="F122" i="3"/>
  <c r="F127" i="3"/>
  <c r="F118" i="3"/>
  <c r="C112" i="3"/>
  <c r="D108" i="3"/>
  <c r="D113" i="3"/>
  <c r="D107" i="3"/>
  <c r="I108" i="3"/>
  <c r="F113" i="3"/>
  <c r="F105" i="3"/>
  <c r="I97" i="3"/>
  <c r="I110" i="3"/>
  <c r="I96" i="3"/>
  <c r="I109" i="3"/>
  <c r="I112" i="3"/>
  <c r="F110" i="3"/>
  <c r="I95" i="3"/>
  <c r="F100" i="3"/>
  <c r="F95" i="3"/>
  <c r="F108" i="3"/>
  <c r="F87" i="3"/>
  <c r="D86" i="3"/>
  <c r="F81" i="3"/>
  <c r="F75" i="3"/>
  <c r="D74" i="3"/>
  <c r="C74" i="3"/>
  <c r="D73" i="3"/>
  <c r="F71" i="3"/>
  <c r="F70" i="3"/>
  <c r="F72" i="3"/>
  <c r="F77" i="3"/>
  <c r="F67" i="3"/>
  <c r="G67" i="3"/>
  <c r="G66" i="3"/>
  <c r="F66" i="3"/>
  <c r="F65" i="3"/>
  <c r="G65" i="3"/>
  <c r="F63" i="3"/>
  <c r="F121" i="3"/>
  <c r="F132" i="3"/>
  <c r="H56" i="3"/>
  <c r="G56" i="3"/>
  <c r="K55" i="3"/>
  <c r="K54" i="3"/>
  <c r="K56" i="3"/>
  <c r="H52" i="3"/>
  <c r="G52" i="3"/>
  <c r="K51" i="3"/>
  <c r="K52" i="3"/>
  <c r="F83" i="3"/>
  <c r="F89" i="3"/>
  <c r="H49" i="3"/>
  <c r="G49" i="3"/>
  <c r="K48" i="3"/>
  <c r="K47" i="3"/>
  <c r="K49" i="3"/>
  <c r="G47" i="3"/>
  <c r="C46" i="3"/>
  <c r="C50" i="3"/>
  <c r="H45" i="3"/>
  <c r="G45" i="3"/>
  <c r="K44" i="3"/>
  <c r="G44" i="3"/>
  <c r="K43" i="3"/>
  <c r="K42" i="3"/>
  <c r="K45" i="3"/>
  <c r="C41" i="3"/>
  <c r="C42" i="3"/>
  <c r="F137" i="3"/>
  <c r="G137" i="3"/>
  <c r="H40" i="3"/>
  <c r="H58" i="3"/>
  <c r="G40" i="3"/>
  <c r="K39" i="3"/>
  <c r="K38" i="3"/>
  <c r="K40" i="3"/>
  <c r="K37" i="3"/>
  <c r="C37" i="3"/>
  <c r="J35" i="3"/>
  <c r="G35" i="3"/>
  <c r="F35" i="3"/>
  <c r="K33" i="3"/>
  <c r="J33" i="3"/>
  <c r="I33" i="3"/>
  <c r="H33" i="3"/>
  <c r="J31" i="3"/>
  <c r="I31" i="3"/>
  <c r="K31" i="3"/>
  <c r="H31" i="3"/>
  <c r="J30" i="3"/>
  <c r="I30" i="3"/>
  <c r="I35" i="3"/>
  <c r="H30" i="3"/>
  <c r="G51" i="3"/>
  <c r="H24" i="3"/>
  <c r="G24" i="3"/>
  <c r="F24" i="3"/>
  <c r="C24" i="3"/>
  <c r="F123" i="3"/>
  <c r="I23" i="3"/>
  <c r="I22" i="3"/>
  <c r="F64" i="3"/>
  <c r="H20" i="3"/>
  <c r="H26" i="3"/>
  <c r="G20" i="3"/>
  <c r="G26" i="3"/>
  <c r="F20" i="3"/>
  <c r="F26" i="3"/>
  <c r="I19" i="3"/>
  <c r="I18" i="3"/>
  <c r="I20" i="3"/>
  <c r="C16" i="3"/>
  <c r="H14" i="3"/>
  <c r="G14" i="3"/>
  <c r="F14" i="3"/>
  <c r="I13" i="3"/>
  <c r="I14" i="3"/>
  <c r="I12" i="3"/>
  <c r="G10" i="3"/>
  <c r="F10" i="3"/>
  <c r="H9" i="3"/>
  <c r="H10" i="3"/>
  <c r="I8" i="3"/>
  <c r="H6" i="3"/>
  <c r="G6" i="3"/>
  <c r="G16" i="3"/>
  <c r="F6" i="3"/>
  <c r="F16" i="3"/>
  <c r="F27" i="3"/>
  <c r="I5" i="3"/>
  <c r="I4" i="3"/>
  <c r="I6" i="3"/>
  <c r="G3" i="3"/>
  <c r="G29" i="3"/>
  <c r="J29" i="3"/>
  <c r="F3" i="3"/>
  <c r="F29" i="3"/>
  <c r="I29" i="3"/>
  <c r="I99" i="2"/>
  <c r="F63" i="4"/>
  <c r="F121" i="4"/>
  <c r="F132" i="4"/>
  <c r="I16" i="4"/>
  <c r="I27" i="4"/>
  <c r="G64" i="4"/>
  <c r="G68" i="4"/>
  <c r="G133" i="4"/>
  <c r="F68" i="4"/>
  <c r="F133" i="4"/>
  <c r="G58" i="4"/>
  <c r="F126" i="4"/>
  <c r="F130" i="4"/>
  <c r="F128" i="4"/>
  <c r="G123" i="4"/>
  <c r="H10" i="4"/>
  <c r="H16" i="4"/>
  <c r="H27" i="4"/>
  <c r="I109" i="4"/>
  <c r="I112" i="4"/>
  <c r="F110" i="4"/>
  <c r="C25" i="4"/>
  <c r="F76" i="4"/>
  <c r="K30" i="4"/>
  <c r="K35" i="4"/>
  <c r="K60" i="4"/>
  <c r="H35" i="4"/>
  <c r="G38" i="4"/>
  <c r="G42" i="4"/>
  <c r="G54" i="4"/>
  <c r="G29" i="4"/>
  <c r="J29" i="4"/>
  <c r="C32" i="4"/>
  <c r="F96" i="4"/>
  <c r="G37" i="4"/>
  <c r="G48" i="4"/>
  <c r="I99" i="3"/>
  <c r="F97" i="3"/>
  <c r="G123" i="3"/>
  <c r="F128" i="3"/>
  <c r="F126" i="3"/>
  <c r="F130" i="3"/>
  <c r="G27" i="3"/>
  <c r="I26" i="3"/>
  <c r="H16" i="3"/>
  <c r="H27" i="3"/>
  <c r="G64" i="3"/>
  <c r="G68" i="3"/>
  <c r="G133" i="3"/>
  <c r="F68" i="3"/>
  <c r="F133" i="3"/>
  <c r="G58" i="3"/>
  <c r="K58" i="3"/>
  <c r="I9" i="3"/>
  <c r="I10" i="3"/>
  <c r="I16" i="3"/>
  <c r="I27" i="3"/>
  <c r="I24" i="3"/>
  <c r="G39" i="3"/>
  <c r="G43" i="3"/>
  <c r="I45" i="3"/>
  <c r="G55" i="3"/>
  <c r="G63" i="3"/>
  <c r="G121" i="3"/>
  <c r="G132" i="3"/>
  <c r="C25" i="3"/>
  <c r="K30" i="3"/>
  <c r="K35" i="3"/>
  <c r="K60" i="3"/>
  <c r="H35" i="3"/>
  <c r="G38" i="3"/>
  <c r="G42" i="3"/>
  <c r="G54" i="3"/>
  <c r="F101" i="3"/>
  <c r="C32" i="3"/>
  <c r="F96" i="3"/>
  <c r="G37" i="3"/>
  <c r="G48" i="3"/>
  <c r="C50" i="2"/>
  <c r="C46" i="2"/>
  <c r="G60" i="2"/>
  <c r="I60" i="2"/>
  <c r="I58" i="2"/>
  <c r="G58" i="2"/>
  <c r="G56" i="2"/>
  <c r="G55" i="2"/>
  <c r="G54" i="2"/>
  <c r="I56" i="2"/>
  <c r="I55" i="2"/>
  <c r="I54" i="2"/>
  <c r="G52" i="2"/>
  <c r="G51" i="2"/>
  <c r="I52" i="2"/>
  <c r="I51" i="2"/>
  <c r="G49" i="2"/>
  <c r="G48" i="2"/>
  <c r="G47" i="2"/>
  <c r="I49" i="2"/>
  <c r="I48" i="2"/>
  <c r="I47" i="2"/>
  <c r="G45" i="2"/>
  <c r="G44" i="2"/>
  <c r="G43" i="2"/>
  <c r="G42" i="2"/>
  <c r="I45" i="2"/>
  <c r="I44" i="2"/>
  <c r="I43" i="2"/>
  <c r="I42" i="2"/>
  <c r="G40" i="2"/>
  <c r="G39" i="2"/>
  <c r="G38" i="2"/>
  <c r="G37" i="2"/>
  <c r="I40" i="2"/>
  <c r="I39" i="2"/>
  <c r="I38" i="2"/>
  <c r="I37" i="2"/>
  <c r="I54" i="4"/>
  <c r="I42" i="4"/>
  <c r="I38" i="4"/>
  <c r="I47" i="4"/>
  <c r="I44" i="4"/>
  <c r="I52" i="4"/>
  <c r="I49" i="4"/>
  <c r="I37" i="4"/>
  <c r="I55" i="4"/>
  <c r="I43" i="4"/>
  <c r="I39" i="4"/>
  <c r="H60" i="4"/>
  <c r="I51" i="4"/>
  <c r="I48" i="4"/>
  <c r="F109" i="4"/>
  <c r="F112" i="4"/>
  <c r="F116" i="4"/>
  <c r="F99" i="4"/>
  <c r="F103" i="4"/>
  <c r="F104" i="4"/>
  <c r="F106" i="4"/>
  <c r="I58" i="4"/>
  <c r="I40" i="4"/>
  <c r="F82" i="4"/>
  <c r="F79" i="4"/>
  <c r="G126" i="4"/>
  <c r="G130" i="4"/>
  <c r="G128" i="4"/>
  <c r="F114" i="4"/>
  <c r="I45" i="4"/>
  <c r="F131" i="4"/>
  <c r="F136" i="4"/>
  <c r="I56" i="4"/>
  <c r="F131" i="3"/>
  <c r="F136" i="3"/>
  <c r="G128" i="3"/>
  <c r="G126" i="3"/>
  <c r="G130" i="3"/>
  <c r="F109" i="3"/>
  <c r="F112" i="3"/>
  <c r="F116" i="3"/>
  <c r="F99" i="3"/>
  <c r="F103" i="3"/>
  <c r="F82" i="3"/>
  <c r="F79" i="3"/>
  <c r="F104" i="3"/>
  <c r="F106" i="3"/>
  <c r="I54" i="3"/>
  <c r="I42" i="3"/>
  <c r="I38" i="3"/>
  <c r="I52" i="3"/>
  <c r="I49" i="3"/>
  <c r="I37" i="3"/>
  <c r="I56" i="3"/>
  <c r="I55" i="3"/>
  <c r="I43" i="3"/>
  <c r="I40" i="3"/>
  <c r="I39" i="3"/>
  <c r="I51" i="3"/>
  <c r="I48" i="3"/>
  <c r="H60" i="3"/>
  <c r="I47" i="3"/>
  <c r="I44" i="3"/>
  <c r="I58" i="3"/>
  <c r="C112" i="2"/>
  <c r="F117" i="4"/>
  <c r="F119" i="4"/>
  <c r="F120" i="4"/>
  <c r="G131" i="4"/>
  <c r="G136" i="4"/>
  <c r="F88" i="4"/>
  <c r="F91" i="4"/>
  <c r="F85" i="4"/>
  <c r="F92" i="4"/>
  <c r="I60" i="4"/>
  <c r="G60" i="4"/>
  <c r="G60" i="3"/>
  <c r="I60" i="3"/>
  <c r="F88" i="3"/>
  <c r="F91" i="3"/>
  <c r="F85" i="3"/>
  <c r="G131" i="3"/>
  <c r="G136" i="3"/>
  <c r="F117" i="3"/>
  <c r="F119" i="3"/>
  <c r="F120" i="3"/>
  <c r="F127" i="2"/>
  <c r="F125" i="2"/>
  <c r="G124" i="2"/>
  <c r="F124" i="2"/>
  <c r="G122" i="2"/>
  <c r="G127" i="2"/>
  <c r="F122" i="2"/>
  <c r="F118" i="2"/>
  <c r="D113" i="2"/>
  <c r="D108" i="2"/>
  <c r="D107" i="2"/>
  <c r="I108" i="2"/>
  <c r="F113" i="2"/>
  <c r="F105" i="2"/>
  <c r="I97" i="2"/>
  <c r="I110" i="2"/>
  <c r="I96" i="2"/>
  <c r="I109" i="2"/>
  <c r="I95" i="2"/>
  <c r="F100" i="2"/>
  <c r="F95" i="2"/>
  <c r="F108" i="2"/>
  <c r="F112" i="2"/>
  <c r="F87" i="2"/>
  <c r="D86" i="2"/>
  <c r="F81" i="2"/>
  <c r="D74" i="2"/>
  <c r="F75" i="2"/>
  <c r="C74" i="2"/>
  <c r="D73" i="2"/>
  <c r="F71" i="2"/>
  <c r="F70" i="2"/>
  <c r="F72" i="2"/>
  <c r="F77" i="2"/>
  <c r="G67" i="2"/>
  <c r="F67" i="2"/>
  <c r="G66" i="2"/>
  <c r="F66" i="2"/>
  <c r="K56" i="2"/>
  <c r="H56" i="2"/>
  <c r="K55" i="2"/>
  <c r="K54" i="2"/>
  <c r="K52" i="2"/>
  <c r="F83" i="2"/>
  <c r="F89" i="2"/>
  <c r="H52" i="2"/>
  <c r="K51" i="2"/>
  <c r="H49" i="2"/>
  <c r="K48" i="2"/>
  <c r="K47" i="2"/>
  <c r="K49" i="2"/>
  <c r="H45" i="2"/>
  <c r="K44" i="2"/>
  <c r="K43" i="2"/>
  <c r="K42" i="2"/>
  <c r="K45" i="2"/>
  <c r="C42" i="2"/>
  <c r="F137" i="2"/>
  <c r="G137" i="2"/>
  <c r="H40" i="2"/>
  <c r="H58" i="2"/>
  <c r="C41" i="2"/>
  <c r="K39" i="2"/>
  <c r="K38" i="2"/>
  <c r="K37" i="2"/>
  <c r="K40" i="2"/>
  <c r="K58" i="2"/>
  <c r="C37" i="2"/>
  <c r="H9" i="2"/>
  <c r="G35" i="2"/>
  <c r="F35" i="2"/>
  <c r="J33" i="2"/>
  <c r="I33" i="2"/>
  <c r="K33" i="2"/>
  <c r="H33" i="2"/>
  <c r="J31" i="2"/>
  <c r="I31" i="2"/>
  <c r="K31" i="2"/>
  <c r="H31" i="2"/>
  <c r="J30" i="2"/>
  <c r="J35" i="2"/>
  <c r="I30" i="2"/>
  <c r="I35" i="2"/>
  <c r="H30" i="2"/>
  <c r="H35" i="2"/>
  <c r="H60" i="2"/>
  <c r="G29" i="2"/>
  <c r="J29" i="2"/>
  <c r="H24" i="2"/>
  <c r="G24" i="2"/>
  <c r="G26" i="2"/>
  <c r="F24" i="2"/>
  <c r="C24" i="2"/>
  <c r="I23" i="2"/>
  <c r="I22" i="2"/>
  <c r="F64" i="2"/>
  <c r="H20" i="2"/>
  <c r="H26" i="2"/>
  <c r="G20" i="2"/>
  <c r="F20" i="2"/>
  <c r="F26" i="2"/>
  <c r="I19" i="2"/>
  <c r="I18" i="2"/>
  <c r="I20" i="2"/>
  <c r="F16" i="2"/>
  <c r="F27" i="2"/>
  <c r="C16" i="2"/>
  <c r="H14" i="2"/>
  <c r="G14" i="2"/>
  <c r="F14" i="2"/>
  <c r="I13" i="2"/>
  <c r="I14" i="2"/>
  <c r="I12" i="2"/>
  <c r="H10" i="2"/>
  <c r="H16" i="2"/>
  <c r="G10" i="2"/>
  <c r="F10" i="2"/>
  <c r="I9" i="2"/>
  <c r="I10" i="2"/>
  <c r="I8" i="2"/>
  <c r="H6" i="2"/>
  <c r="G6" i="2"/>
  <c r="G16" i="2"/>
  <c r="G27" i="2"/>
  <c r="F6" i="2"/>
  <c r="I5" i="2"/>
  <c r="I6" i="2"/>
  <c r="I4" i="2"/>
  <c r="G3" i="2"/>
  <c r="G63" i="2"/>
  <c r="G121" i="2"/>
  <c r="G132" i="2"/>
  <c r="F3" i="2"/>
  <c r="F29" i="2"/>
  <c r="I29" i="2"/>
  <c r="G3" i="1"/>
  <c r="G63" i="1"/>
  <c r="G133" i="1"/>
  <c r="G144" i="1"/>
  <c r="F3" i="1"/>
  <c r="F63" i="1"/>
  <c r="F133" i="1"/>
  <c r="F144" i="1"/>
  <c r="F95" i="1"/>
  <c r="F106" i="1"/>
  <c r="F96" i="1"/>
  <c r="F97" i="1"/>
  <c r="F99" i="1"/>
  <c r="F103" i="1"/>
  <c r="F102" i="1"/>
  <c r="F101" i="1"/>
  <c r="F105" i="1"/>
  <c r="F109" i="1"/>
  <c r="C24" i="1"/>
  <c r="F107" i="1"/>
  <c r="F110" i="1"/>
  <c r="F111" i="1"/>
  <c r="F112" i="1"/>
  <c r="F115" i="1"/>
  <c r="F116" i="1"/>
  <c r="D120" i="1"/>
  <c r="D119" i="1"/>
  <c r="F114" i="1"/>
  <c r="F118" i="1"/>
  <c r="F122" i="1"/>
  <c r="F121" i="1"/>
  <c r="F120" i="1"/>
  <c r="F124" i="1"/>
  <c r="F128" i="1"/>
  <c r="F126" i="1"/>
  <c r="D125" i="1"/>
  <c r="F125" i="1"/>
  <c r="F129" i="1"/>
  <c r="F130" i="1"/>
  <c r="F131" i="1"/>
  <c r="F132" i="1"/>
  <c r="G132" i="1"/>
  <c r="G147" i="1"/>
  <c r="I22" i="1"/>
  <c r="F64" i="1"/>
  <c r="G64" i="1"/>
  <c r="I18" i="1"/>
  <c r="F65" i="1"/>
  <c r="G65" i="1"/>
  <c r="F66" i="1"/>
  <c r="G66" i="1"/>
  <c r="F67" i="1"/>
  <c r="G67" i="1"/>
  <c r="G68" i="1"/>
  <c r="G145" i="1"/>
  <c r="F76" i="1"/>
  <c r="D74" i="1"/>
  <c r="F75" i="1"/>
  <c r="F70" i="1"/>
  <c r="F71" i="1"/>
  <c r="F72" i="1"/>
  <c r="F77" i="1"/>
  <c r="F82" i="1"/>
  <c r="F81" i="1"/>
  <c r="K51" i="1"/>
  <c r="K52" i="1"/>
  <c r="F83" i="1"/>
  <c r="F85" i="1"/>
  <c r="F88" i="1"/>
  <c r="D86" i="1"/>
  <c r="F87" i="1"/>
  <c r="F89" i="1"/>
  <c r="F91" i="1"/>
  <c r="F92" i="1"/>
  <c r="G92" i="1"/>
  <c r="G146" i="1"/>
  <c r="F135" i="1"/>
  <c r="G135" i="1"/>
  <c r="G140" i="1"/>
  <c r="G134" i="1"/>
  <c r="G139" i="1"/>
  <c r="F136" i="1"/>
  <c r="G136" i="1"/>
  <c r="G138" i="1"/>
  <c r="G142" i="1"/>
  <c r="G143" i="1"/>
  <c r="G148" i="1"/>
  <c r="C40" i="1"/>
  <c r="C41" i="1"/>
  <c r="F149" i="1"/>
  <c r="G149" i="1"/>
  <c r="G150" i="1"/>
  <c r="F147" i="1"/>
  <c r="F68" i="1"/>
  <c r="F145" i="1"/>
  <c r="F146" i="1"/>
  <c r="F140" i="1"/>
  <c r="F134" i="1"/>
  <c r="F139" i="1"/>
  <c r="F137" i="1"/>
  <c r="F138" i="1"/>
  <c r="F142" i="1"/>
  <c r="F143" i="1"/>
  <c r="F148" i="1"/>
  <c r="F150" i="1"/>
  <c r="C36" i="1"/>
  <c r="D73" i="1"/>
  <c r="C74" i="1"/>
  <c r="H56" i="1"/>
  <c r="K55" i="1"/>
  <c r="K54" i="1"/>
  <c r="H52" i="1"/>
  <c r="K48" i="1"/>
  <c r="K47" i="1"/>
  <c r="H49" i="1"/>
  <c r="K44" i="1"/>
  <c r="K43" i="1"/>
  <c r="K42" i="1"/>
  <c r="H45" i="1"/>
  <c r="H40" i="1"/>
  <c r="K39" i="1"/>
  <c r="K38" i="1"/>
  <c r="K37" i="1"/>
  <c r="G35" i="1"/>
  <c r="F35" i="1"/>
  <c r="J33" i="1"/>
  <c r="I33" i="1"/>
  <c r="J31" i="1"/>
  <c r="I31" i="1"/>
  <c r="H33" i="1"/>
  <c r="H31" i="1"/>
  <c r="J30" i="1"/>
  <c r="I30" i="1"/>
  <c r="H30" i="1"/>
  <c r="H24" i="1"/>
  <c r="G24" i="1"/>
  <c r="F24" i="1"/>
  <c r="I23" i="1"/>
  <c r="H20" i="1"/>
  <c r="G20" i="1"/>
  <c r="F20" i="1"/>
  <c r="I19" i="1"/>
  <c r="H14" i="1"/>
  <c r="G14" i="1"/>
  <c r="F14" i="1"/>
  <c r="I13" i="1"/>
  <c r="I12" i="1"/>
  <c r="H6" i="1"/>
  <c r="G6" i="1"/>
  <c r="F6" i="1"/>
  <c r="I5" i="1"/>
  <c r="I4" i="1"/>
  <c r="F135" i="4"/>
  <c r="G120" i="4"/>
  <c r="G135" i="4"/>
  <c r="G92" i="4"/>
  <c r="G134" i="4"/>
  <c r="G138" i="4"/>
  <c r="F134" i="4"/>
  <c r="F138" i="4"/>
  <c r="F92" i="3"/>
  <c r="F134" i="3"/>
  <c r="G92" i="3"/>
  <c r="G134" i="3"/>
  <c r="G120" i="3"/>
  <c r="G135" i="3"/>
  <c r="F135" i="3"/>
  <c r="F123" i="2"/>
  <c r="C32" i="2"/>
  <c r="F96" i="2"/>
  <c r="C25" i="2"/>
  <c r="F82" i="2"/>
  <c r="F88" i="2"/>
  <c r="F91" i="2"/>
  <c r="I112" i="2"/>
  <c r="F110" i="2"/>
  <c r="I16" i="2"/>
  <c r="H27" i="2"/>
  <c r="F128" i="2"/>
  <c r="F126" i="2"/>
  <c r="F130" i="2"/>
  <c r="G123" i="2"/>
  <c r="F68" i="2"/>
  <c r="F133" i="2"/>
  <c r="G64" i="2"/>
  <c r="F85" i="2"/>
  <c r="F63" i="2"/>
  <c r="F121" i="2"/>
  <c r="F132" i="2"/>
  <c r="F65" i="2"/>
  <c r="G65" i="2"/>
  <c r="F97" i="2"/>
  <c r="F99" i="2"/>
  <c r="I24" i="2"/>
  <c r="I26" i="2"/>
  <c r="K30" i="2"/>
  <c r="K35" i="2"/>
  <c r="K60" i="2"/>
  <c r="I20" i="1"/>
  <c r="H26" i="1"/>
  <c r="H58" i="1"/>
  <c r="J35" i="1"/>
  <c r="I6" i="1"/>
  <c r="F26" i="1"/>
  <c r="K56" i="1"/>
  <c r="H35" i="1"/>
  <c r="K33" i="1"/>
  <c r="K40" i="1"/>
  <c r="G26" i="1"/>
  <c r="K30" i="1"/>
  <c r="K31" i="1"/>
  <c r="K45" i="1"/>
  <c r="I14" i="1"/>
  <c r="I35" i="1"/>
  <c r="I24" i="1"/>
  <c r="K49" i="1"/>
  <c r="H10" i="1"/>
  <c r="H16" i="1"/>
  <c r="H27" i="1"/>
  <c r="G10" i="1"/>
  <c r="G16" i="1"/>
  <c r="F10" i="1"/>
  <c r="F16" i="1"/>
  <c r="I9" i="1"/>
  <c r="I8" i="1"/>
  <c r="C16" i="1"/>
  <c r="G138" i="3"/>
  <c r="F138" i="3"/>
  <c r="F79" i="2"/>
  <c r="F92" i="2"/>
  <c r="F103" i="2"/>
  <c r="F109" i="2"/>
  <c r="F116" i="2"/>
  <c r="F114" i="2"/>
  <c r="F131" i="2"/>
  <c r="F136" i="2"/>
  <c r="G68" i="2"/>
  <c r="G133" i="2"/>
  <c r="G128" i="2"/>
  <c r="G126" i="2"/>
  <c r="G130" i="2"/>
  <c r="I27" i="2"/>
  <c r="I26" i="1"/>
  <c r="F27" i="1"/>
  <c r="H60" i="1"/>
  <c r="K58" i="1"/>
  <c r="G27" i="1"/>
  <c r="K35" i="1"/>
  <c r="G29" i="1"/>
  <c r="J29" i="1"/>
  <c r="F29" i="1"/>
  <c r="I29" i="1"/>
  <c r="I10" i="1"/>
  <c r="I16" i="1"/>
  <c r="I27" i="1"/>
  <c r="F117" i="2"/>
  <c r="F119" i="2"/>
  <c r="F104" i="2"/>
  <c r="F106" i="2"/>
  <c r="F134" i="2"/>
  <c r="G92" i="2"/>
  <c r="G134" i="2"/>
  <c r="G131" i="2"/>
  <c r="G136" i="2"/>
  <c r="K60" i="1"/>
  <c r="F120" i="2"/>
  <c r="G120" i="2"/>
  <c r="G135" i="2"/>
  <c r="G138" i="2"/>
  <c r="F135" i="2"/>
  <c r="F138" i="2"/>
</calcChain>
</file>

<file path=xl/sharedStrings.xml><?xml version="1.0" encoding="utf-8"?>
<sst xmlns="http://schemas.openxmlformats.org/spreadsheetml/2006/main" count="1146" uniqueCount="143">
  <si>
    <t>Pat</t>
  </si>
  <si>
    <t>Leslie</t>
  </si>
  <si>
    <t>Child 1</t>
  </si>
  <si>
    <t>Child 2</t>
  </si>
  <si>
    <t>Employee Benefits</t>
  </si>
  <si>
    <t>Life Insurance</t>
  </si>
  <si>
    <t>2Xs annual salary</t>
  </si>
  <si>
    <t>Prescription Drugs</t>
  </si>
  <si>
    <t xml:space="preserve">Dental </t>
  </si>
  <si>
    <t>80% up to $5,000</t>
  </si>
  <si>
    <t>Disability</t>
  </si>
  <si>
    <t>Short Term</t>
  </si>
  <si>
    <t>75% Gross for 110 days</t>
  </si>
  <si>
    <t xml:space="preserve">Waiting period </t>
  </si>
  <si>
    <t>10 days</t>
  </si>
  <si>
    <t>Long-term</t>
  </si>
  <si>
    <t>120 days</t>
  </si>
  <si>
    <t>Net Worth</t>
  </si>
  <si>
    <t>Condo</t>
  </si>
  <si>
    <t>Joint</t>
  </si>
  <si>
    <t>Total</t>
  </si>
  <si>
    <t>Other Use Assets</t>
  </si>
  <si>
    <t>Total Use Assets</t>
  </si>
  <si>
    <t>Total Liquid Assets</t>
  </si>
  <si>
    <t>Chequing Account</t>
  </si>
  <si>
    <t>Other Liquid Assets</t>
  </si>
  <si>
    <t>Total Invested Assets</t>
  </si>
  <si>
    <t>Investment Account</t>
  </si>
  <si>
    <t>Assets</t>
  </si>
  <si>
    <t>Total Assets</t>
  </si>
  <si>
    <t>Liabilities</t>
  </si>
  <si>
    <t>Car Loan</t>
  </si>
  <si>
    <t>Other Short Term Liabilities</t>
  </si>
  <si>
    <t>Total Short Tem Liabilities</t>
  </si>
  <si>
    <t>Mortgage</t>
  </si>
  <si>
    <t>Other Long Term Liabilities</t>
  </si>
  <si>
    <t>Total Long Tem Liabilities</t>
  </si>
  <si>
    <t>Total Liabilities</t>
  </si>
  <si>
    <t>Cash Flow</t>
  </si>
  <si>
    <t>Monthly</t>
  </si>
  <si>
    <t>Annual</t>
  </si>
  <si>
    <t>Gross Income</t>
  </si>
  <si>
    <t>Taxes and deductions</t>
  </si>
  <si>
    <t>Other Income</t>
  </si>
  <si>
    <t>Total Cash Inflows</t>
  </si>
  <si>
    <t>Other Debt Payments</t>
  </si>
  <si>
    <t>Total Debt Payments</t>
  </si>
  <si>
    <t>Property Taxes</t>
  </si>
  <si>
    <t>Condo Fees</t>
  </si>
  <si>
    <t>Other Household Expenses</t>
  </si>
  <si>
    <t>Total Housing Expenses</t>
  </si>
  <si>
    <t xml:space="preserve">Car </t>
  </si>
  <si>
    <t>Transit</t>
  </si>
  <si>
    <t>Total Transportation Costs</t>
  </si>
  <si>
    <t>Childcare</t>
  </si>
  <si>
    <t>Total Childcare Costs</t>
  </si>
  <si>
    <t>Retirement Savings</t>
  </si>
  <si>
    <t>Education Savings</t>
  </si>
  <si>
    <t>Total Savings Contributions</t>
  </si>
  <si>
    <t>Total Outflows</t>
  </si>
  <si>
    <t>Net Cash Flow</t>
  </si>
  <si>
    <t>Needs After Death</t>
  </si>
  <si>
    <t>Emergency Fund</t>
  </si>
  <si>
    <t>Funeral Expenses</t>
  </si>
  <si>
    <t>Immediate Needs</t>
  </si>
  <si>
    <t>Inflation</t>
  </si>
  <si>
    <t>Monthly Housing Expenses</t>
  </si>
  <si>
    <t>Car</t>
  </si>
  <si>
    <t>Insurance to age 65</t>
  </si>
  <si>
    <t>Retirement Ages</t>
  </si>
  <si>
    <t>Gross Return</t>
  </si>
  <si>
    <t>Fees</t>
  </si>
  <si>
    <t>Net Return</t>
  </si>
  <si>
    <t>N</t>
  </si>
  <si>
    <t xml:space="preserve">I/Y </t>
  </si>
  <si>
    <t>PMT</t>
  </si>
  <si>
    <t>FV</t>
  </si>
  <si>
    <t>CPT PV</t>
  </si>
  <si>
    <t>P/Y</t>
  </si>
  <si>
    <t xml:space="preserve">Mode </t>
  </si>
  <si>
    <t>END</t>
  </si>
  <si>
    <t>BGN</t>
  </si>
  <si>
    <t>Retirement Age</t>
  </si>
  <si>
    <t>Years to Retirement</t>
  </si>
  <si>
    <t>Insurance Needs Monthly Expenses</t>
  </si>
  <si>
    <t>Expenses up to age</t>
  </si>
  <si>
    <t>On-Going Needs</t>
  </si>
  <si>
    <t>Education Needs</t>
  </si>
  <si>
    <t>Education Cost</t>
  </si>
  <si>
    <t>Education Inflation</t>
  </si>
  <si>
    <t>Bequest Child 1</t>
  </si>
  <si>
    <t>Child 1 Start Age</t>
  </si>
  <si>
    <t>Child 2 Start Age</t>
  </si>
  <si>
    <t>PV</t>
  </si>
  <si>
    <t>CPT FV</t>
  </si>
  <si>
    <t># Years Program</t>
  </si>
  <si>
    <t>Future Cost Education</t>
  </si>
  <si>
    <t xml:space="preserve">Cost all 4 years </t>
  </si>
  <si>
    <t>Amount Needed Today</t>
  </si>
  <si>
    <t>Education Fund</t>
  </si>
  <si>
    <t>Ed. Fund Child 1</t>
  </si>
  <si>
    <t>Ed. Fund Child 2</t>
  </si>
  <si>
    <t>Data Inputs</t>
  </si>
  <si>
    <t>Increased Retirement Savings</t>
  </si>
  <si>
    <t>Life Insurance Needs Summary</t>
  </si>
  <si>
    <t>Ongoing Needs</t>
  </si>
  <si>
    <t>Retirement Needs Surviving Spouse</t>
  </si>
  <si>
    <t>Bequest to Chilfren</t>
  </si>
  <si>
    <t>Retirement Savings Needs for Surviving Spouse</t>
  </si>
  <si>
    <t xml:space="preserve">Cost all 3 years </t>
  </si>
  <si>
    <t>I</t>
  </si>
  <si>
    <t>E</t>
  </si>
  <si>
    <t>LF</t>
  </si>
  <si>
    <t xml:space="preserve">Mortgage </t>
  </si>
  <si>
    <t>CPT PMT</t>
  </si>
  <si>
    <t xml:space="preserve">P/Y </t>
  </si>
  <si>
    <t>Inflation Adusted</t>
  </si>
  <si>
    <t>Should Inflation Adjust</t>
  </si>
  <si>
    <t>We inflation adjust</t>
  </si>
  <si>
    <t>We do not Inflation adjust</t>
  </si>
  <si>
    <t>PMT made BGN</t>
  </si>
  <si>
    <t>Mode = END</t>
  </si>
  <si>
    <t>Inflation Adjusted</t>
  </si>
  <si>
    <t>Not FPSB Inflation adjust</t>
  </si>
  <si>
    <t>Not same as FPSB Text</t>
  </si>
  <si>
    <t>Should be investment rate</t>
  </si>
  <si>
    <t>No inflation adjustment</t>
  </si>
  <si>
    <t>Spouse 1</t>
  </si>
  <si>
    <t>Spouse 2</t>
  </si>
  <si>
    <t>Step 1</t>
  </si>
  <si>
    <t>Step 2</t>
  </si>
  <si>
    <t>Annual Education Inflation</t>
  </si>
  <si>
    <t>Step 3</t>
  </si>
  <si>
    <t>STEP 1</t>
  </si>
  <si>
    <t>STEP 2</t>
  </si>
  <si>
    <t>STEP 3</t>
  </si>
  <si>
    <t>Annual Inflation Rate</t>
  </si>
  <si>
    <t>NORMALLY</t>
  </si>
  <si>
    <t>Bequest to Children</t>
  </si>
  <si>
    <t>F</t>
  </si>
  <si>
    <t>L</t>
  </si>
  <si>
    <t>Leslie 35</t>
  </si>
  <si>
    <t>Pat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</si>
</sst>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singleAccounting"/>
      <sz val="11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164" fontId="0" fillId="0" borderId="0" xfId="2" applyNumberFormat="1" applyFont="1" applyBorder="1"/>
    <xf numFmtId="164" fontId="0" fillId="0" borderId="10" xfId="2" applyNumberFormat="1" applyFont="1" applyBorder="1"/>
    <xf numFmtId="164" fontId="4" fillId="0" borderId="0" xfId="2" applyNumberFormat="1" applyFont="1" applyBorder="1"/>
    <xf numFmtId="164" fontId="4" fillId="0" borderId="10" xfId="2" applyNumberFormat="1" applyFont="1" applyBorder="1"/>
    <xf numFmtId="0" fontId="3" fillId="0" borderId="9" xfId="0" applyFont="1" applyBorder="1"/>
    <xf numFmtId="164" fontId="3" fillId="0" borderId="0" xfId="2" applyNumberFormat="1" applyFont="1" applyBorder="1"/>
    <xf numFmtId="164" fontId="3" fillId="0" borderId="10" xfId="2" applyNumberFormat="1" applyFont="1" applyBorder="1"/>
    <xf numFmtId="0" fontId="3" fillId="0" borderId="11" xfId="0" applyFont="1" applyBorder="1"/>
    <xf numFmtId="164" fontId="3" fillId="0" borderId="12" xfId="2" applyNumberFormat="1" applyFont="1" applyBorder="1"/>
    <xf numFmtId="164" fontId="3" fillId="0" borderId="13" xfId="2" applyNumberFormat="1" applyFont="1" applyBorder="1"/>
    <xf numFmtId="0" fontId="3" fillId="0" borderId="9" xfId="0" applyFont="1" applyFill="1" applyBorder="1"/>
    <xf numFmtId="0" fontId="0" fillId="0" borderId="9" xfId="0" applyFont="1" applyFill="1" applyBorder="1"/>
    <xf numFmtId="0" fontId="3" fillId="0" borderId="6" xfId="0" applyFont="1" applyFill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0" fontId="0" fillId="0" borderId="0" xfId="0" applyBorder="1"/>
    <xf numFmtId="0" fontId="0" fillId="0" borderId="10" xfId="0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2" fillId="2" borderId="1" xfId="3" applyNumberFormat="1"/>
    <xf numFmtId="0" fontId="0" fillId="0" borderId="6" xfId="0" applyBorder="1"/>
    <xf numFmtId="0" fontId="0" fillId="0" borderId="7" xfId="0" applyBorder="1" applyAlignment="1">
      <alignment horizontal="left"/>
    </xf>
    <xf numFmtId="0" fontId="2" fillId="2" borderId="14" xfId="3" applyBorder="1"/>
    <xf numFmtId="0" fontId="3" fillId="0" borderId="7" xfId="0" applyFont="1" applyBorder="1" applyAlignment="1">
      <alignment wrapText="1"/>
    </xf>
    <xf numFmtId="44" fontId="0" fillId="0" borderId="7" xfId="2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2" fillId="2" borderId="1" xfId="3" applyBorder="1"/>
    <xf numFmtId="43" fontId="0" fillId="0" borderId="0" xfId="1" applyFont="1" applyBorder="1"/>
    <xf numFmtId="44" fontId="0" fillId="0" borderId="0" xfId="2" applyFont="1" applyBorder="1"/>
    <xf numFmtId="44" fontId="0" fillId="0" borderId="10" xfId="2" applyFont="1" applyBorder="1"/>
    <xf numFmtId="10" fontId="0" fillId="0" borderId="0" xfId="1" applyNumberFormat="1" applyFont="1" applyBorder="1"/>
    <xf numFmtId="8" fontId="0" fillId="0" borderId="0" xfId="2" applyNumberFormat="1" applyFont="1" applyBorder="1"/>
    <xf numFmtId="0" fontId="3" fillId="0" borderId="0" xfId="0" applyFont="1" applyBorder="1"/>
    <xf numFmtId="8" fontId="3" fillId="0" borderId="0" xfId="2" applyNumberFormat="1" applyFont="1" applyBorder="1"/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44" fontId="0" fillId="0" borderId="12" xfId="2" applyFont="1" applyBorder="1"/>
    <xf numFmtId="44" fontId="3" fillId="0" borderId="0" xfId="2" applyNumberFormat="1" applyFont="1" applyBorder="1"/>
    <xf numFmtId="0" fontId="0" fillId="0" borderId="12" xfId="0" applyBorder="1" applyAlignment="1">
      <alignment horizontal="left"/>
    </xf>
    <xf numFmtId="8" fontId="3" fillId="0" borderId="12" xfId="2" applyNumberFormat="1" applyFont="1" applyBorder="1"/>
    <xf numFmtId="0" fontId="0" fillId="0" borderId="7" xfId="0" applyBorder="1"/>
    <xf numFmtId="8" fontId="7" fillId="0" borderId="12" xfId="0" applyNumberFormat="1" applyFont="1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7" fillId="0" borderId="4" xfId="0" applyFont="1" applyBorder="1"/>
    <xf numFmtId="8" fontId="7" fillId="0" borderId="4" xfId="0" applyNumberFormat="1" applyFont="1" applyBorder="1"/>
    <xf numFmtId="0" fontId="3" fillId="0" borderId="7" xfId="0" applyFont="1" applyBorder="1"/>
    <xf numFmtId="44" fontId="3" fillId="0" borderId="7" xfId="2" applyFont="1" applyBorder="1" applyAlignment="1">
      <alignment horizontal="center"/>
    </xf>
    <xf numFmtId="44" fontId="4" fillId="0" borderId="0" xfId="2" applyFont="1" applyBorder="1"/>
    <xf numFmtId="44" fontId="3" fillId="0" borderId="0" xfId="2" applyFont="1" applyBorder="1"/>
    <xf numFmtId="0" fontId="0" fillId="0" borderId="6" xfId="0" applyBorder="1" applyAlignment="1">
      <alignment horizontal="left"/>
    </xf>
    <xf numFmtId="44" fontId="0" fillId="0" borderId="8" xfId="2" applyFont="1" applyBorder="1"/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44" fontId="0" fillId="0" borderId="13" xfId="2" applyFont="1" applyBorder="1"/>
    <xf numFmtId="43" fontId="0" fillId="0" borderId="7" xfId="1" applyFont="1" applyBorder="1"/>
    <xf numFmtId="0" fontId="3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9" fontId="2" fillId="2" borderId="15" xfId="3" applyNumberFormat="1" applyBorder="1"/>
    <xf numFmtId="0" fontId="0" fillId="3" borderId="0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3" xfId="0" applyFill="1" applyBorder="1"/>
    <xf numFmtId="44" fontId="0" fillId="3" borderId="7" xfId="2" applyFont="1" applyFill="1" applyBorder="1"/>
    <xf numFmtId="0" fontId="0" fillId="3" borderId="8" xfId="0" applyFill="1" applyBorder="1"/>
    <xf numFmtId="44" fontId="0" fillId="3" borderId="0" xfId="2" applyFont="1" applyFill="1" applyBorder="1"/>
    <xf numFmtId="44" fontId="0" fillId="3" borderId="12" xfId="2" applyFon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3" fillId="0" borderId="0" xfId="0" applyFont="1" applyBorder="1" applyAlignment="1">
      <alignment horizontal="center"/>
    </xf>
    <xf numFmtId="44" fontId="2" fillId="2" borderId="1" xfId="3" applyNumberFormat="1" applyBorder="1"/>
    <xf numFmtId="44" fontId="0" fillId="0" borderId="0" xfId="0" applyNumberFormat="1" applyBorder="1"/>
    <xf numFmtId="44" fontId="5" fillId="0" borderId="0" xfId="2" applyFont="1" applyBorder="1"/>
    <xf numFmtId="44" fontId="4" fillId="0" borderId="0" xfId="0" applyNumberFormat="1" applyFont="1" applyBorder="1"/>
    <xf numFmtId="44" fontId="6" fillId="0" borderId="0" xfId="2" applyFont="1" applyBorder="1"/>
    <xf numFmtId="0" fontId="6" fillId="0" borderId="0" xfId="0" applyFont="1" applyBorder="1"/>
    <xf numFmtId="44" fontId="6" fillId="0" borderId="12" xfId="2" applyFont="1" applyBorder="1"/>
    <xf numFmtId="0" fontId="6" fillId="0" borderId="12" xfId="0" applyFont="1" applyBorder="1"/>
    <xf numFmtId="44" fontId="2" fillId="2" borderId="16" xfId="3" applyNumberForma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4" fontId="0" fillId="0" borderId="18" xfId="2" applyFont="1" applyBorder="1"/>
    <xf numFmtId="44" fontId="5" fillId="0" borderId="18" xfId="2" applyFont="1" applyBorder="1"/>
    <xf numFmtId="44" fontId="2" fillId="2" borderId="19" xfId="3" applyNumberFormat="1" applyBorder="1"/>
    <xf numFmtId="44" fontId="3" fillId="0" borderId="18" xfId="2" applyFont="1" applyBorder="1"/>
    <xf numFmtId="44" fontId="5" fillId="0" borderId="20" xfId="2" applyFont="1" applyBorder="1"/>
    <xf numFmtId="44" fontId="0" fillId="0" borderId="18" xfId="0" applyNumberFormat="1" applyBorder="1"/>
    <xf numFmtId="44" fontId="4" fillId="0" borderId="18" xfId="0" applyNumberFormat="1" applyFont="1" applyBorder="1"/>
    <xf numFmtId="0" fontId="0" fillId="0" borderId="18" xfId="0" applyBorder="1"/>
    <xf numFmtId="0" fontId="2" fillId="2" borderId="21" xfId="3" applyBorder="1" applyAlignment="1">
      <alignment horizontal="left"/>
    </xf>
    <xf numFmtId="0" fontId="0" fillId="0" borderId="10" xfId="0" applyBorder="1" applyAlignment="1">
      <alignment horizontal="left"/>
    </xf>
    <xf numFmtId="9" fontId="2" fillId="2" borderId="21" xfId="3" applyNumberFormat="1" applyBorder="1" applyAlignment="1">
      <alignment horizontal="left"/>
    </xf>
    <xf numFmtId="44" fontId="2" fillId="2" borderId="21" xfId="3" applyNumberFormat="1" applyBorder="1" applyAlignment="1"/>
    <xf numFmtId="44" fontId="2" fillId="2" borderId="21" xfId="3" applyNumberFormat="1" applyBorder="1" applyAlignment="1">
      <alignment horizontal="left"/>
    </xf>
    <xf numFmtId="10" fontId="2" fillId="2" borderId="21" xfId="3" applyNumberFormat="1" applyBorder="1" applyAlignment="1">
      <alignment horizontal="left"/>
    </xf>
    <xf numFmtId="10" fontId="0" fillId="0" borderId="10" xfId="0" applyNumberFormat="1" applyBorder="1" applyAlignment="1">
      <alignment horizontal="left"/>
    </xf>
    <xf numFmtId="44" fontId="0" fillId="0" borderId="10" xfId="2" applyFont="1" applyBorder="1" applyAlignment="1">
      <alignment horizontal="left"/>
    </xf>
    <xf numFmtId="44" fontId="0" fillId="0" borderId="13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44" fontId="0" fillId="0" borderId="10" xfId="0" applyNumberFormat="1" applyBorder="1"/>
    <xf numFmtId="10" fontId="0" fillId="0" borderId="0" xfId="0" applyNumberFormat="1" applyBorder="1"/>
    <xf numFmtId="8" fontId="0" fillId="0" borderId="0" xfId="0" applyNumberFormat="1" applyBorder="1"/>
    <xf numFmtId="8" fontId="0" fillId="0" borderId="10" xfId="0" applyNumberFormat="1" applyBorder="1"/>
    <xf numFmtId="8" fontId="2" fillId="2" borderId="16" xfId="3" applyNumberFormat="1" applyBorder="1"/>
    <xf numFmtId="8" fontId="0" fillId="0" borderId="12" xfId="0" applyNumberFormat="1" applyBorder="1" applyAlignment="1">
      <alignment horizontal="center"/>
    </xf>
    <xf numFmtId="44" fontId="3" fillId="0" borderId="17" xfId="2" applyFont="1" applyBorder="1" applyAlignment="1">
      <alignment horizontal="center"/>
    </xf>
    <xf numFmtId="44" fontId="4" fillId="0" borderId="18" xfId="2" applyFont="1" applyBorder="1"/>
    <xf numFmtId="44" fontId="0" fillId="0" borderId="20" xfId="2" applyFont="1" applyBorder="1"/>
    <xf numFmtId="44" fontId="0" fillId="0" borderId="17" xfId="2" applyFont="1" applyBorder="1"/>
    <xf numFmtId="8" fontId="7" fillId="0" borderId="2" xfId="0" applyNumberFormat="1" applyFont="1" applyBorder="1"/>
    <xf numFmtId="0" fontId="0" fillId="0" borderId="20" xfId="0" applyBorder="1"/>
    <xf numFmtId="4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4" fontId="2" fillId="2" borderId="2" xfId="3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0" fontId="0" fillId="0" borderId="17" xfId="0" applyBorder="1"/>
    <xf numFmtId="10" fontId="0" fillId="0" borderId="18" xfId="0" applyNumberFormat="1" applyBorder="1"/>
    <xf numFmtId="8" fontId="0" fillId="0" borderId="18" xfId="0" applyNumberFormat="1" applyBorder="1"/>
    <xf numFmtId="8" fontId="7" fillId="0" borderId="20" xfId="0" applyNumberFormat="1" applyFont="1" applyBorder="1"/>
    <xf numFmtId="0" fontId="0" fillId="0" borderId="0" xfId="0" applyBorder="1" applyAlignment="1">
      <alignment wrapText="1"/>
    </xf>
    <xf numFmtId="44" fontId="4" fillId="0" borderId="10" xfId="0" applyNumberFormat="1" applyFont="1" applyBorder="1"/>
    <xf numFmtId="44" fontId="7" fillId="0" borderId="12" xfId="0" applyNumberFormat="1" applyFont="1" applyBorder="1"/>
    <xf numFmtId="44" fontId="7" fillId="0" borderId="13" xfId="0" applyNumberFormat="1" applyFont="1" applyBorder="1"/>
    <xf numFmtId="164" fontId="8" fillId="2" borderId="1" xfId="3" applyNumberFormat="1" applyFont="1"/>
    <xf numFmtId="0" fontId="4" fillId="0" borderId="0" xfId="0" applyFont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0" fillId="0" borderId="0" xfId="4" applyFont="1" applyBorder="1"/>
    <xf numFmtId="9" fontId="3" fillId="0" borderId="0" xfId="4" applyFont="1" applyBorder="1"/>
    <xf numFmtId="9" fontId="9" fillId="0" borderId="0" xfId="4" applyFont="1" applyBorder="1"/>
    <xf numFmtId="9" fontId="6" fillId="0" borderId="0" xfId="4" applyFont="1" applyBorder="1"/>
    <xf numFmtId="9" fontId="10" fillId="0" borderId="0" xfId="4" applyFont="1" applyBorder="1"/>
    <xf numFmtId="164" fontId="0" fillId="0" borderId="0" xfId="2" applyNumberFormat="1" applyFont="1" applyAlignment="1">
      <alignment horizontal="left"/>
    </xf>
    <xf numFmtId="8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65" fontId="2" fillId="2" borderId="21" xfId="3" applyNumberFormat="1" applyBorder="1" applyAlignment="1">
      <alignment horizontal="left"/>
    </xf>
    <xf numFmtId="166" fontId="0" fillId="0" borderId="10" xfId="4" applyNumberFormat="1" applyFont="1" applyBorder="1" applyAlignment="1">
      <alignment horizontal="left"/>
    </xf>
    <xf numFmtId="10" fontId="0" fillId="4" borderId="0" xfId="1" applyNumberFormat="1" applyFont="1" applyFill="1" applyBorder="1"/>
    <xf numFmtId="10" fontId="0" fillId="4" borderId="0" xfId="0" applyNumberFormat="1" applyFill="1" applyBorder="1" applyAlignment="1">
      <alignment horizontal="center"/>
    </xf>
    <xf numFmtId="10" fontId="0" fillId="4" borderId="18" xfId="0" applyNumberFormat="1" applyFill="1" applyBorder="1" applyAlignment="1">
      <alignment horizontal="center"/>
    </xf>
    <xf numFmtId="10" fontId="0" fillId="4" borderId="0" xfId="0" applyNumberFormat="1" applyFill="1" applyBorder="1"/>
    <xf numFmtId="10" fontId="0" fillId="4" borderId="18" xfId="0" applyNumberFormat="1" applyFill="1" applyBorder="1"/>
    <xf numFmtId="166" fontId="0" fillId="4" borderId="0" xfId="0" applyNumberFormat="1" applyFill="1" applyAlignment="1">
      <alignment horizontal="left"/>
    </xf>
    <xf numFmtId="0" fontId="0" fillId="5" borderId="0" xfId="0" applyFill="1" applyBorder="1"/>
    <xf numFmtId="166" fontId="0" fillId="0" borderId="0" xfId="1" applyNumberFormat="1" applyFont="1" applyBorder="1"/>
    <xf numFmtId="44" fontId="0" fillId="4" borderId="18" xfId="2" applyFont="1" applyFill="1" applyBorder="1"/>
    <xf numFmtId="10" fontId="0" fillId="6" borderId="0" xfId="1" applyNumberFormat="1" applyFont="1" applyFill="1" applyBorder="1"/>
    <xf numFmtId="10" fontId="0" fillId="7" borderId="0" xfId="1" applyNumberFormat="1" applyFont="1" applyFill="1" applyBorder="1"/>
    <xf numFmtId="10" fontId="0" fillId="8" borderId="0" xfId="1" applyNumberFormat="1" applyFont="1" applyFill="1" applyBorder="1"/>
    <xf numFmtId="165" fontId="11" fillId="8" borderId="21" xfId="3" applyNumberFormat="1" applyFont="1" applyFill="1" applyBorder="1" applyAlignment="1">
      <alignment horizontal="left"/>
    </xf>
    <xf numFmtId="166" fontId="0" fillId="9" borderId="0" xfId="1" applyNumberFormat="1" applyFont="1" applyFill="1" applyBorder="1"/>
    <xf numFmtId="166" fontId="0" fillId="9" borderId="0" xfId="0" applyNumberFormat="1" applyFill="1" applyAlignment="1">
      <alignment horizontal="left"/>
    </xf>
    <xf numFmtId="10" fontId="0" fillId="10" borderId="10" xfId="0" applyNumberFormat="1" applyFill="1" applyBorder="1" applyAlignment="1">
      <alignment horizontal="left"/>
    </xf>
    <xf numFmtId="10" fontId="0" fillId="10" borderId="0" xfId="1" applyNumberFormat="1" applyFont="1" applyFill="1" applyBorder="1"/>
    <xf numFmtId="166" fontId="0" fillId="11" borderId="10" xfId="4" applyNumberFormat="1" applyFont="1" applyFill="1" applyBorder="1" applyAlignment="1">
      <alignment horizontal="left"/>
    </xf>
    <xf numFmtId="10" fontId="0" fillId="11" borderId="0" xfId="1" applyNumberFormat="1" applyFont="1" applyFill="1" applyBorder="1"/>
    <xf numFmtId="164" fontId="4" fillId="0" borderId="0" xfId="2" applyNumberFormat="1" applyFont="1"/>
    <xf numFmtId="10" fontId="0" fillId="0" borderId="0" xfId="4" applyNumberFormat="1" applyFont="1" applyBorder="1"/>
    <xf numFmtId="10" fontId="9" fillId="0" borderId="0" xfId="4" applyNumberFormat="1" applyFont="1" applyBorder="1"/>
    <xf numFmtId="10" fontId="0" fillId="0" borderId="0" xfId="2" applyNumberFormat="1" applyFont="1" applyBorder="1"/>
    <xf numFmtId="10" fontId="10" fillId="0" borderId="0" xfId="4" applyNumberFormat="1" applyFont="1" applyBorder="1"/>
    <xf numFmtId="10" fontId="3" fillId="0" borderId="0" xfId="4" applyNumberFormat="1" applyFont="1" applyBorder="1"/>
    <xf numFmtId="10" fontId="6" fillId="0" borderId="0" xfId="4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10" xfId="1" applyFont="1" applyBorder="1"/>
    <xf numFmtId="10" fontId="0" fillId="6" borderId="10" xfId="1" applyNumberFormat="1" applyFont="1" applyFill="1" applyBorder="1"/>
    <xf numFmtId="8" fontId="3" fillId="0" borderId="13" xfId="2" applyNumberFormat="1" applyFont="1" applyBorder="1"/>
    <xf numFmtId="44" fontId="3" fillId="0" borderId="17" xfId="2" applyFont="1" applyBorder="1"/>
    <xf numFmtId="0" fontId="3" fillId="0" borderId="8" xfId="0" applyFont="1" applyBorder="1"/>
    <xf numFmtId="44" fontId="3" fillId="4" borderId="18" xfId="2" applyFont="1" applyFill="1" applyBorder="1"/>
    <xf numFmtId="9" fontId="11" fillId="2" borderId="21" xfId="3" applyNumberFormat="1" applyFont="1" applyBorder="1" applyAlignment="1">
      <alignment horizontal="left"/>
    </xf>
    <xf numFmtId="10" fontId="3" fillId="4" borderId="10" xfId="0" applyNumberFormat="1" applyFont="1" applyFill="1" applyBorder="1" applyAlignment="1">
      <alignment horizontal="left"/>
    </xf>
    <xf numFmtId="10" fontId="0" fillId="8" borderId="10" xfId="1" applyNumberFormat="1" applyFont="1" applyFill="1" applyBorder="1"/>
    <xf numFmtId="166" fontId="0" fillId="9" borderId="10" xfId="1" applyNumberFormat="1" applyFont="1" applyFill="1" applyBorder="1"/>
    <xf numFmtId="8" fontId="0" fillId="0" borderId="10" xfId="2" applyNumberFormat="1" applyFont="1" applyBorder="1"/>
    <xf numFmtId="8" fontId="2" fillId="2" borderId="21" xfId="3" applyNumberFormat="1" applyBorder="1"/>
    <xf numFmtId="0" fontId="0" fillId="4" borderId="9" xfId="0" applyFill="1" applyBorder="1" applyAlignment="1">
      <alignment horizontal="left"/>
    </xf>
    <xf numFmtId="44" fontId="3" fillId="4" borderId="10" xfId="2" applyFont="1" applyFill="1" applyBorder="1"/>
    <xf numFmtId="44" fontId="3" fillId="0" borderId="10" xfId="2" applyFont="1" applyBorder="1"/>
    <xf numFmtId="44" fontId="3" fillId="4" borderId="13" xfId="2" applyFont="1" applyFill="1" applyBorder="1"/>
    <xf numFmtId="0" fontId="0" fillId="0" borderId="0" xfId="0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0" fillId="0" borderId="9" xfId="2" applyFont="1" applyBorder="1"/>
    <xf numFmtId="44" fontId="5" fillId="0" borderId="9" xfId="2" applyFont="1" applyBorder="1"/>
    <xf numFmtId="44" fontId="5" fillId="0" borderId="10" xfId="2" applyFont="1" applyBorder="1"/>
    <xf numFmtId="10" fontId="0" fillId="0" borderId="9" xfId="4" applyNumberFormat="1" applyFont="1" applyBorder="1"/>
    <xf numFmtId="10" fontId="9" fillId="0" borderId="9" xfId="4" applyNumberFormat="1" applyFont="1" applyBorder="1"/>
    <xf numFmtId="10" fontId="3" fillId="0" borderId="9" xfId="4" applyNumberFormat="1" applyFont="1" applyBorder="1"/>
    <xf numFmtId="10" fontId="0" fillId="0" borderId="9" xfId="2" applyNumberFormat="1" applyFont="1" applyBorder="1"/>
    <xf numFmtId="10" fontId="6" fillId="0" borderId="9" xfId="4" applyNumberFormat="1" applyFont="1" applyBorder="1"/>
    <xf numFmtId="0" fontId="6" fillId="0" borderId="10" xfId="0" applyFont="1" applyBorder="1"/>
    <xf numFmtId="9" fontId="6" fillId="0" borderId="11" xfId="4" applyFont="1" applyBorder="1"/>
    <xf numFmtId="0" fontId="6" fillId="0" borderId="13" xfId="0" applyFont="1" applyBorder="1"/>
    <xf numFmtId="44" fontId="2" fillId="2" borderId="21" xfId="3" applyNumberFormat="1" applyBorder="1"/>
    <xf numFmtId="10" fontId="0" fillId="0" borderId="10" xfId="4" applyNumberFormat="1" applyFont="1" applyBorder="1"/>
    <xf numFmtId="10" fontId="9" fillId="0" borderId="10" xfId="4" applyNumberFormat="1" applyFont="1" applyBorder="1"/>
    <xf numFmtId="10" fontId="0" fillId="0" borderId="10" xfId="2" applyNumberFormat="1" applyFont="1" applyBorder="1"/>
    <xf numFmtId="10" fontId="10" fillId="0" borderId="10" xfId="4" applyNumberFormat="1" applyFont="1" applyBorder="1"/>
    <xf numFmtId="9" fontId="10" fillId="0" borderId="13" xfId="4" applyFont="1" applyBorder="1"/>
    <xf numFmtId="0" fontId="3" fillId="0" borderId="6" xfId="0" applyFont="1" applyBorder="1" applyAlignment="1">
      <alignment horizontal="left" wrapText="1"/>
    </xf>
    <xf numFmtId="44" fontId="0" fillId="12" borderId="0" xfId="2" applyFont="1" applyFill="1" applyBorder="1"/>
    <xf numFmtId="44" fontId="0" fillId="12" borderId="18" xfId="2" applyFont="1" applyFill="1" applyBorder="1"/>
    <xf numFmtId="0" fontId="0" fillId="0" borderId="0" xfId="0" applyAlignment="1">
      <alignment horizontal="right"/>
    </xf>
  </cellXfs>
  <cellStyles count="5">
    <cellStyle name="Comma" xfId="1" builtinId="3"/>
    <cellStyle name="Currency" xfId="2" builtinId="4"/>
    <cellStyle name="Input" xfId="3" builtinId="20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99FF"/>
      <color rgb="FFFF00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5</xdr:col>
      <xdr:colOff>917787</xdr:colOff>
      <xdr:row>166</xdr:row>
      <xdr:rowOff>155182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D99459-124D-4C80-8B01-1788373C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26924000"/>
          <a:ext cx="5570220" cy="5035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5</xdr:col>
      <xdr:colOff>917787</xdr:colOff>
      <xdr:row>166</xdr:row>
      <xdr:rowOff>155182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8CAE13-C28E-4D9F-8C6C-839FA165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27349450"/>
          <a:ext cx="5572337" cy="5146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8B45-8375-4150-A336-E259AA7DB489}">
  <dimension ref="B1:K156"/>
  <sheetViews>
    <sheetView tabSelected="1" topLeftCell="B1" zoomScale="80" zoomScaleNormal="80" workbookViewId="0">
      <selection activeCell="B1" sqref="B1"/>
    </sheetView>
  </sheetViews>
  <sheetFormatPr defaultRowHeight="14.4" x14ac:dyDescent="0.3"/>
  <cols>
    <col min="1" max="1" width="4" customWidth="1"/>
    <col min="2" max="2" width="17.33203125" bestFit="1" customWidth="1"/>
    <col min="3" max="3" width="21" style="1" bestFit="1" customWidth="1"/>
    <col min="4" max="4" width="5.33203125" bestFit="1" customWidth="1"/>
    <col min="5" max="5" width="25" bestFit="1" customWidth="1"/>
    <col min="6" max="6" width="18.109375" bestFit="1" customWidth="1"/>
    <col min="7" max="7" width="17.33203125" customWidth="1"/>
    <col min="8" max="8" width="17.5546875" customWidth="1"/>
    <col min="9" max="11" width="15.44140625" bestFit="1" customWidth="1"/>
  </cols>
  <sheetData>
    <row r="1" spans="2:9" ht="15" thickBot="1" x14ac:dyDescent="0.35"/>
    <row r="2" spans="2:9" ht="15" thickBot="1" x14ac:dyDescent="0.35">
      <c r="B2" s="189" t="s">
        <v>102</v>
      </c>
      <c r="C2" s="190"/>
      <c r="E2" s="191" t="s">
        <v>17</v>
      </c>
      <c r="F2" s="192"/>
      <c r="G2" s="192"/>
      <c r="H2" s="192"/>
      <c r="I2" s="193"/>
    </row>
    <row r="3" spans="2:9" x14ac:dyDescent="0.3">
      <c r="B3" s="7" t="s">
        <v>0</v>
      </c>
      <c r="C3" s="104">
        <v>33</v>
      </c>
      <c r="E3" s="4" t="s">
        <v>28</v>
      </c>
      <c r="F3" s="5" t="str">
        <f>B3</f>
        <v>Pat</v>
      </c>
      <c r="G3" s="5" t="str">
        <f>B4</f>
        <v>Leslie</v>
      </c>
      <c r="H3" s="5" t="s">
        <v>19</v>
      </c>
      <c r="I3" s="6" t="s">
        <v>20</v>
      </c>
    </row>
    <row r="4" spans="2:9" x14ac:dyDescent="0.3">
      <c r="B4" s="7" t="s">
        <v>1</v>
      </c>
      <c r="C4" s="104">
        <v>35</v>
      </c>
      <c r="E4" s="7" t="s">
        <v>24</v>
      </c>
      <c r="F4" s="27">
        <v>0</v>
      </c>
      <c r="G4" s="27">
        <v>0</v>
      </c>
      <c r="H4" s="27">
        <v>2000</v>
      </c>
      <c r="I4" s="27">
        <f>SUM(F4:H4)</f>
        <v>2000</v>
      </c>
    </row>
    <row r="5" spans="2:9" x14ac:dyDescent="0.3">
      <c r="B5" s="7"/>
      <c r="C5" s="105"/>
      <c r="E5" s="7" t="s">
        <v>25</v>
      </c>
      <c r="F5" s="27">
        <v>0</v>
      </c>
      <c r="G5" s="27">
        <v>0</v>
      </c>
      <c r="H5" s="27">
        <v>0</v>
      </c>
      <c r="I5" s="27">
        <f>SUM(F5:H5)</f>
        <v>0</v>
      </c>
    </row>
    <row r="6" spans="2:9" x14ac:dyDescent="0.3">
      <c r="B6" s="7" t="s">
        <v>2</v>
      </c>
      <c r="C6" s="104">
        <v>5</v>
      </c>
      <c r="E6" s="12" t="s">
        <v>23</v>
      </c>
      <c r="F6" s="13">
        <f>SUM(F4:F5)</f>
        <v>0</v>
      </c>
      <c r="G6" s="13">
        <f t="shared" ref="G6" si="0">SUM(G4:G5)</f>
        <v>0</v>
      </c>
      <c r="H6" s="13">
        <f t="shared" ref="H6" si="1">SUM(H4:H5)</f>
        <v>2000</v>
      </c>
      <c r="I6" s="14">
        <f t="shared" ref="I6" si="2">SUM(I4:I5)</f>
        <v>2000</v>
      </c>
    </row>
    <row r="7" spans="2:9" x14ac:dyDescent="0.3">
      <c r="B7" s="7" t="s">
        <v>3</v>
      </c>
      <c r="C7" s="104">
        <v>7</v>
      </c>
      <c r="E7" s="7"/>
      <c r="F7" s="8"/>
      <c r="G7" s="8"/>
      <c r="H7" s="8"/>
      <c r="I7" s="9"/>
    </row>
    <row r="8" spans="2:9" x14ac:dyDescent="0.3">
      <c r="B8" s="7"/>
      <c r="C8" s="105"/>
      <c r="E8" s="7" t="s">
        <v>27</v>
      </c>
      <c r="F8" s="27">
        <v>6700</v>
      </c>
      <c r="G8" s="27">
        <v>0</v>
      </c>
      <c r="H8" s="27">
        <v>0</v>
      </c>
      <c r="I8" s="27">
        <f>SUM(F8:H8)</f>
        <v>6700</v>
      </c>
    </row>
    <row r="9" spans="2:9" x14ac:dyDescent="0.3">
      <c r="B9" s="12" t="s">
        <v>4</v>
      </c>
      <c r="C9" s="105"/>
      <c r="E9" s="7" t="s">
        <v>99</v>
      </c>
      <c r="F9" s="27">
        <v>0</v>
      </c>
      <c r="G9" s="27">
        <v>0</v>
      </c>
      <c r="H9" s="27">
        <v>35000</v>
      </c>
      <c r="I9" s="27">
        <f>SUM(F9:H9)</f>
        <v>35000</v>
      </c>
    </row>
    <row r="10" spans="2:9" x14ac:dyDescent="0.3">
      <c r="B10" s="7" t="s">
        <v>5</v>
      </c>
      <c r="C10" s="104" t="s">
        <v>6</v>
      </c>
      <c r="E10" s="12" t="s">
        <v>26</v>
      </c>
      <c r="F10" s="13">
        <f>SUM(F8:F9)</f>
        <v>6700</v>
      </c>
      <c r="G10" s="13">
        <f t="shared" ref="G10:I10" si="3">SUM(G8:G9)</f>
        <v>0</v>
      </c>
      <c r="H10" s="13">
        <f t="shared" si="3"/>
        <v>35000</v>
      </c>
      <c r="I10" s="14">
        <f t="shared" si="3"/>
        <v>41700</v>
      </c>
    </row>
    <row r="11" spans="2:9" x14ac:dyDescent="0.3">
      <c r="B11" s="7" t="s">
        <v>7</v>
      </c>
      <c r="C11" s="106">
        <v>0.8</v>
      </c>
      <c r="E11" s="7"/>
      <c r="F11" s="8"/>
      <c r="G11" s="8"/>
      <c r="H11" s="8"/>
      <c r="I11" s="9"/>
    </row>
    <row r="12" spans="2:9" x14ac:dyDescent="0.3">
      <c r="B12" s="7" t="s">
        <v>8</v>
      </c>
      <c r="C12" s="104" t="s">
        <v>9</v>
      </c>
      <c r="E12" s="7" t="s">
        <v>18</v>
      </c>
      <c r="F12" s="27">
        <v>0</v>
      </c>
      <c r="G12" s="27">
        <v>0</v>
      </c>
      <c r="H12" s="27">
        <v>650000</v>
      </c>
      <c r="I12" s="27">
        <f>SUM(F12:H12)</f>
        <v>650000</v>
      </c>
    </row>
    <row r="13" spans="2:9" x14ac:dyDescent="0.3">
      <c r="B13" s="12" t="s">
        <v>10</v>
      </c>
      <c r="C13" s="105"/>
      <c r="E13" s="7" t="s">
        <v>21</v>
      </c>
      <c r="F13" s="27">
        <v>0</v>
      </c>
      <c r="G13" s="27">
        <v>0</v>
      </c>
      <c r="H13" s="27">
        <v>0</v>
      </c>
      <c r="I13" s="27">
        <f>SUM(F13:H13)</f>
        <v>0</v>
      </c>
    </row>
    <row r="14" spans="2:9" x14ac:dyDescent="0.3">
      <c r="B14" s="7" t="s">
        <v>11</v>
      </c>
      <c r="C14" s="104" t="s">
        <v>12</v>
      </c>
      <c r="E14" s="12" t="s">
        <v>22</v>
      </c>
      <c r="F14" s="13">
        <f>SUM(F12:F13)</f>
        <v>0</v>
      </c>
      <c r="G14" s="13">
        <f t="shared" ref="G14" si="4">SUM(G12:G13)</f>
        <v>0</v>
      </c>
      <c r="H14" s="13">
        <f t="shared" ref="H14" si="5">SUM(H12:H13)</f>
        <v>650000</v>
      </c>
      <c r="I14" s="14">
        <f t="shared" ref="I14" si="6">SUM(I12:I13)</f>
        <v>650000</v>
      </c>
    </row>
    <row r="15" spans="2:9" x14ac:dyDescent="0.3">
      <c r="B15" s="7" t="s">
        <v>13</v>
      </c>
      <c r="C15" s="104" t="s">
        <v>14</v>
      </c>
      <c r="E15" s="7"/>
      <c r="F15" s="8"/>
      <c r="G15" s="8"/>
      <c r="H15" s="8"/>
      <c r="I15" s="9"/>
    </row>
    <row r="16" spans="2:9" ht="15" thickBot="1" x14ac:dyDescent="0.35">
      <c r="B16" s="7" t="s">
        <v>15</v>
      </c>
      <c r="C16" s="106">
        <f>2/3</f>
        <v>0.66666666666666663</v>
      </c>
      <c r="E16" s="15" t="s">
        <v>29</v>
      </c>
      <c r="F16" s="16">
        <f>F6+F10+F14</f>
        <v>6700</v>
      </c>
      <c r="G16" s="16">
        <f t="shared" ref="G16:I16" si="7">G6+G10+G14</f>
        <v>0</v>
      </c>
      <c r="H16" s="16">
        <f t="shared" si="7"/>
        <v>687000</v>
      </c>
      <c r="I16" s="17">
        <f t="shared" si="7"/>
        <v>693700</v>
      </c>
    </row>
    <row r="17" spans="2:11" x14ac:dyDescent="0.3">
      <c r="B17" s="7" t="s">
        <v>13</v>
      </c>
      <c r="C17" s="104" t="s">
        <v>16</v>
      </c>
      <c r="E17" s="20" t="s">
        <v>30</v>
      </c>
      <c r="F17" s="21"/>
      <c r="G17" s="21"/>
      <c r="H17" s="21"/>
      <c r="I17" s="22"/>
    </row>
    <row r="18" spans="2:11" x14ac:dyDescent="0.3">
      <c r="B18" s="7"/>
      <c r="C18" s="105"/>
      <c r="E18" s="19" t="s">
        <v>31</v>
      </c>
      <c r="F18" s="8">
        <v>0</v>
      </c>
      <c r="G18" s="8">
        <v>0</v>
      </c>
      <c r="H18" s="8">
        <v>16000</v>
      </c>
      <c r="I18" s="9">
        <f>SUM(F18:H18)</f>
        <v>16000</v>
      </c>
    </row>
    <row r="19" spans="2:11" ht="16.2" x14ac:dyDescent="0.45">
      <c r="B19" s="7" t="s">
        <v>62</v>
      </c>
      <c r="C19" s="107">
        <v>25000</v>
      </c>
      <c r="E19" s="19" t="s">
        <v>32</v>
      </c>
      <c r="F19" s="10">
        <v>0</v>
      </c>
      <c r="G19" s="10">
        <v>0</v>
      </c>
      <c r="H19" s="10">
        <v>0</v>
      </c>
      <c r="I19" s="11">
        <f>SUM(F19:H19)</f>
        <v>0</v>
      </c>
    </row>
    <row r="20" spans="2:11" x14ac:dyDescent="0.3">
      <c r="B20" s="7" t="s">
        <v>63</v>
      </c>
      <c r="C20" s="108">
        <v>20000</v>
      </c>
      <c r="E20" s="18" t="s">
        <v>33</v>
      </c>
      <c r="F20" s="13">
        <f>SUM(F18:F19)</f>
        <v>0</v>
      </c>
      <c r="G20" s="13">
        <f t="shared" ref="G20" si="8">SUM(G18:G19)</f>
        <v>0</v>
      </c>
      <c r="H20" s="13">
        <f t="shared" ref="H20" si="9">SUM(H18:H19)</f>
        <v>16000</v>
      </c>
      <c r="I20" s="14">
        <f t="shared" ref="I20" si="10">SUM(I18:I19)</f>
        <v>16000</v>
      </c>
    </row>
    <row r="21" spans="2:11" x14ac:dyDescent="0.3">
      <c r="B21" s="7"/>
      <c r="C21" s="105"/>
      <c r="E21" s="7"/>
      <c r="F21" s="8"/>
      <c r="G21" s="8"/>
      <c r="H21" s="8"/>
      <c r="I21" s="9"/>
    </row>
    <row r="22" spans="2:11" x14ac:dyDescent="0.3">
      <c r="B22" s="7" t="s">
        <v>70</v>
      </c>
      <c r="C22" s="109">
        <v>5.0999999999999997E-2</v>
      </c>
      <c r="E22" s="19" t="s">
        <v>34</v>
      </c>
      <c r="F22" s="8">
        <v>0</v>
      </c>
      <c r="G22" s="8">
        <v>0</v>
      </c>
      <c r="H22" s="8">
        <v>275000</v>
      </c>
      <c r="I22" s="9">
        <f>SUM(F22:H22)</f>
        <v>275000</v>
      </c>
    </row>
    <row r="23" spans="2:11" ht="16.2" x14ac:dyDescent="0.45">
      <c r="B23" s="7" t="s">
        <v>71</v>
      </c>
      <c r="C23" s="109">
        <v>1.6E-2</v>
      </c>
      <c r="E23" s="19" t="s">
        <v>35</v>
      </c>
      <c r="F23" s="10">
        <v>0</v>
      </c>
      <c r="G23" s="10">
        <v>0</v>
      </c>
      <c r="H23" s="10">
        <v>0</v>
      </c>
      <c r="I23" s="11">
        <f>SUM(F23:H23)</f>
        <v>0</v>
      </c>
    </row>
    <row r="24" spans="2:11" x14ac:dyDescent="0.3">
      <c r="B24" s="12" t="s">
        <v>72</v>
      </c>
      <c r="C24" s="201">
        <f>C22-C23</f>
        <v>3.4999999999999996E-2</v>
      </c>
      <c r="E24" s="18" t="s">
        <v>36</v>
      </c>
      <c r="F24" s="13">
        <f>SUM(F22:F23)</f>
        <v>0</v>
      </c>
      <c r="G24" s="13">
        <f t="shared" ref="G24" si="11">SUM(G22:G23)</f>
        <v>0</v>
      </c>
      <c r="H24" s="13">
        <f t="shared" ref="H24" si="12">SUM(H22:H23)</f>
        <v>275000</v>
      </c>
      <c r="I24" s="14">
        <f t="shared" ref="I24" si="13">SUM(I22:I23)</f>
        <v>275000</v>
      </c>
    </row>
    <row r="25" spans="2:11" x14ac:dyDescent="0.3">
      <c r="B25" s="7"/>
      <c r="C25" s="105"/>
      <c r="E25" s="7"/>
      <c r="F25" s="23"/>
      <c r="G25" s="23"/>
      <c r="H25" s="23"/>
      <c r="I25" s="24"/>
    </row>
    <row r="26" spans="2:11" ht="15" thickBot="1" x14ac:dyDescent="0.35">
      <c r="B26" s="12" t="s">
        <v>65</v>
      </c>
      <c r="C26" s="200">
        <v>0.02</v>
      </c>
      <c r="E26" s="15" t="s">
        <v>37</v>
      </c>
      <c r="F26" s="25">
        <f>F20+F24</f>
        <v>0</v>
      </c>
      <c r="G26" s="25">
        <f t="shared" ref="G26:I26" si="14">G20+G24</f>
        <v>0</v>
      </c>
      <c r="H26" s="25">
        <f t="shared" si="14"/>
        <v>291000</v>
      </c>
      <c r="I26" s="26">
        <f t="shared" si="14"/>
        <v>291000</v>
      </c>
    </row>
    <row r="27" spans="2:11" ht="15" thickBot="1" x14ac:dyDescent="0.35">
      <c r="B27" s="7"/>
      <c r="C27" s="105"/>
      <c r="E27" s="20" t="s">
        <v>17</v>
      </c>
      <c r="F27" s="82">
        <f>F16-F26</f>
        <v>6700</v>
      </c>
      <c r="G27" s="82">
        <f t="shared" ref="G27:I27" si="15">G16-G26</f>
        <v>0</v>
      </c>
      <c r="H27" s="82">
        <f t="shared" si="15"/>
        <v>396000</v>
      </c>
      <c r="I27" s="83">
        <f t="shared" si="15"/>
        <v>402700</v>
      </c>
    </row>
    <row r="28" spans="2:11" x14ac:dyDescent="0.3">
      <c r="B28" s="7" t="s">
        <v>69</v>
      </c>
      <c r="C28" s="104">
        <v>65</v>
      </c>
      <c r="E28" s="28"/>
      <c r="F28" s="188" t="s">
        <v>39</v>
      </c>
      <c r="G28" s="188"/>
      <c r="H28" s="94" t="s">
        <v>20</v>
      </c>
      <c r="I28" s="188" t="s">
        <v>40</v>
      </c>
      <c r="J28" s="188"/>
      <c r="K28" s="94" t="s">
        <v>20</v>
      </c>
    </row>
    <row r="29" spans="2:11" x14ac:dyDescent="0.3">
      <c r="B29" s="7"/>
      <c r="C29" s="105"/>
      <c r="E29" s="18" t="s">
        <v>38</v>
      </c>
      <c r="F29" s="84" t="str">
        <f>F3</f>
        <v>Pat</v>
      </c>
      <c r="G29" s="84" t="str">
        <f>G3</f>
        <v>Leslie</v>
      </c>
      <c r="H29" s="95" t="s">
        <v>39</v>
      </c>
      <c r="I29" s="84" t="str">
        <f>F29</f>
        <v>Pat</v>
      </c>
      <c r="J29" s="84" t="str">
        <f>G29</f>
        <v>Leslie</v>
      </c>
      <c r="K29" s="95" t="s">
        <v>40</v>
      </c>
    </row>
    <row r="30" spans="2:11" x14ac:dyDescent="0.3">
      <c r="B30" s="7" t="s">
        <v>88</v>
      </c>
      <c r="C30" s="108">
        <v>10000</v>
      </c>
      <c r="E30" s="19" t="s">
        <v>41</v>
      </c>
      <c r="F30" s="85">
        <v>7083.33</v>
      </c>
      <c r="G30" s="93">
        <v>3333</v>
      </c>
      <c r="H30" s="96">
        <f>SUM(F30:G30)</f>
        <v>10416.33</v>
      </c>
      <c r="I30" s="37">
        <f>F30*12</f>
        <v>84999.959999999992</v>
      </c>
      <c r="J30" s="37">
        <f>G30*12</f>
        <v>39996</v>
      </c>
      <c r="K30" s="101">
        <f>I30+J30</f>
        <v>124995.95999999999</v>
      </c>
    </row>
    <row r="31" spans="2:11" x14ac:dyDescent="0.3">
      <c r="B31" s="12" t="s">
        <v>89</v>
      </c>
      <c r="C31" s="200">
        <v>0.05</v>
      </c>
      <c r="E31" s="18" t="s">
        <v>42</v>
      </c>
      <c r="F31" s="85">
        <v>-2267.5</v>
      </c>
      <c r="G31" s="93">
        <v>-846.58</v>
      </c>
      <c r="H31" s="96">
        <f t="shared" ref="H31:H33" si="16">SUM(F31:G31)</f>
        <v>-3114.08</v>
      </c>
      <c r="I31" s="37">
        <f t="shared" ref="I31:I33" si="17">F31*12</f>
        <v>-27210</v>
      </c>
      <c r="J31" s="37">
        <f t="shared" ref="J31:J33" si="18">G31*12</f>
        <v>-10158.960000000001</v>
      </c>
      <c r="K31" s="101">
        <f t="shared" ref="K31:K33" si="19">I31+J31</f>
        <v>-37368.959999999999</v>
      </c>
    </row>
    <row r="32" spans="2:11" x14ac:dyDescent="0.3">
      <c r="B32" s="7" t="s">
        <v>95</v>
      </c>
      <c r="C32" s="104">
        <v>4</v>
      </c>
      <c r="E32" s="7"/>
      <c r="F32" s="37"/>
      <c r="G32" s="37"/>
      <c r="H32" s="96"/>
      <c r="I32" s="37"/>
      <c r="J32" s="37"/>
      <c r="K32" s="101"/>
    </row>
    <row r="33" spans="2:11" x14ac:dyDescent="0.3">
      <c r="B33" s="7"/>
      <c r="C33" s="105"/>
      <c r="E33" s="18" t="s">
        <v>43</v>
      </c>
      <c r="F33" s="37">
        <v>0</v>
      </c>
      <c r="G33" s="37">
        <v>0</v>
      </c>
      <c r="H33" s="96">
        <f t="shared" si="16"/>
        <v>0</v>
      </c>
      <c r="I33" s="37">
        <f t="shared" si="17"/>
        <v>0</v>
      </c>
      <c r="J33" s="37">
        <f t="shared" si="18"/>
        <v>0</v>
      </c>
      <c r="K33" s="101">
        <f t="shared" si="19"/>
        <v>0</v>
      </c>
    </row>
    <row r="34" spans="2:11" x14ac:dyDescent="0.3">
      <c r="B34" s="7" t="s">
        <v>100</v>
      </c>
      <c r="C34" s="108">
        <v>15000</v>
      </c>
      <c r="E34" s="7"/>
      <c r="F34" s="37"/>
      <c r="G34" s="37"/>
      <c r="H34" s="96"/>
      <c r="I34" s="37"/>
      <c r="J34" s="37"/>
      <c r="K34" s="101"/>
    </row>
    <row r="35" spans="2:11" ht="16.2" x14ac:dyDescent="0.45">
      <c r="B35" s="7" t="s">
        <v>101</v>
      </c>
      <c r="C35" s="108">
        <v>20000</v>
      </c>
      <c r="E35" s="18" t="s">
        <v>44</v>
      </c>
      <c r="F35" s="87">
        <f>F30+F31+F33</f>
        <v>4815.83</v>
      </c>
      <c r="G35" s="87">
        <f t="shared" ref="G35:K35" si="20">G30+G31+G33</f>
        <v>2486.42</v>
      </c>
      <c r="H35" s="97">
        <f t="shared" si="20"/>
        <v>7302.25</v>
      </c>
      <c r="I35" s="87">
        <f t="shared" si="20"/>
        <v>57789.959999999992</v>
      </c>
      <c r="J35" s="87">
        <f t="shared" si="20"/>
        <v>29837.040000000001</v>
      </c>
      <c r="K35" s="97">
        <f t="shared" si="20"/>
        <v>87627</v>
      </c>
    </row>
    <row r="36" spans="2:11" x14ac:dyDescent="0.3">
      <c r="B36" s="7" t="s">
        <v>20</v>
      </c>
      <c r="C36" s="111">
        <f>SUM(C34:C35)</f>
        <v>35000</v>
      </c>
      <c r="E36" s="7"/>
      <c r="F36" s="37"/>
      <c r="G36" s="37"/>
      <c r="H36" s="96"/>
      <c r="I36" s="37"/>
      <c r="J36" s="37"/>
      <c r="K36" s="101"/>
    </row>
    <row r="37" spans="2:11" x14ac:dyDescent="0.3">
      <c r="B37" s="7"/>
      <c r="C37" s="105"/>
      <c r="E37" s="7" t="s">
        <v>34</v>
      </c>
      <c r="F37" s="37"/>
      <c r="G37" s="37"/>
      <c r="H37" s="98">
        <v>1700</v>
      </c>
      <c r="I37" s="37"/>
      <c r="J37" s="37"/>
      <c r="K37" s="101">
        <f>H37*12</f>
        <v>20400</v>
      </c>
    </row>
    <row r="38" spans="2:11" x14ac:dyDescent="0.3">
      <c r="B38" s="7"/>
      <c r="C38" s="105"/>
      <c r="E38" s="7" t="s">
        <v>31</v>
      </c>
      <c r="F38" s="37"/>
      <c r="G38" s="37"/>
      <c r="H38" s="98">
        <v>400</v>
      </c>
      <c r="I38" s="37"/>
      <c r="J38" s="37"/>
      <c r="K38" s="101">
        <f t="shared" ref="K38:K39" si="21">H38*12</f>
        <v>4800</v>
      </c>
    </row>
    <row r="39" spans="2:11" ht="16.2" x14ac:dyDescent="0.45">
      <c r="B39" s="7" t="s">
        <v>90</v>
      </c>
      <c r="C39" s="108">
        <v>100000</v>
      </c>
      <c r="E39" s="7" t="s">
        <v>45</v>
      </c>
      <c r="F39" s="37"/>
      <c r="G39" s="37"/>
      <c r="H39" s="98">
        <v>0</v>
      </c>
      <c r="I39" s="37"/>
      <c r="J39" s="37"/>
      <c r="K39" s="102">
        <f t="shared" si="21"/>
        <v>0</v>
      </c>
    </row>
    <row r="40" spans="2:11" x14ac:dyDescent="0.3">
      <c r="B40" s="7" t="s">
        <v>90</v>
      </c>
      <c r="C40" s="108">
        <f>C39</f>
        <v>100000</v>
      </c>
      <c r="E40" s="12" t="s">
        <v>46</v>
      </c>
      <c r="F40" s="37"/>
      <c r="G40" s="37"/>
      <c r="H40" s="99">
        <f>SUM(H37:H39)</f>
        <v>2100</v>
      </c>
      <c r="I40" s="60"/>
      <c r="J40" s="60"/>
      <c r="K40" s="99">
        <f>SUM(K37:K39)</f>
        <v>25200</v>
      </c>
    </row>
    <row r="41" spans="2:11" ht="15" thickBot="1" x14ac:dyDescent="0.35">
      <c r="B41" s="43"/>
      <c r="C41" s="112">
        <f>SUM(C39:C40)</f>
        <v>200000</v>
      </c>
      <c r="E41" s="7"/>
      <c r="F41" s="37"/>
      <c r="G41" s="37"/>
      <c r="H41" s="96"/>
      <c r="I41" s="37"/>
      <c r="J41" s="37"/>
      <c r="K41" s="101"/>
    </row>
    <row r="42" spans="2:11" x14ac:dyDescent="0.3">
      <c r="E42" s="7" t="s">
        <v>47</v>
      </c>
      <c r="F42" s="37"/>
      <c r="G42" s="37"/>
      <c r="H42" s="98">
        <v>333</v>
      </c>
      <c r="I42" s="37"/>
      <c r="J42" s="23"/>
      <c r="K42" s="101">
        <f>H42*12</f>
        <v>3996</v>
      </c>
    </row>
    <row r="43" spans="2:11" x14ac:dyDescent="0.3">
      <c r="E43" s="7" t="s">
        <v>48</v>
      </c>
      <c r="F43" s="37"/>
      <c r="G43" s="37"/>
      <c r="H43" s="98">
        <v>300</v>
      </c>
      <c r="I43" s="37"/>
      <c r="J43" s="23"/>
      <c r="K43" s="101">
        <f t="shared" ref="K43:K44" si="22">H43*12</f>
        <v>3600</v>
      </c>
    </row>
    <row r="44" spans="2:11" ht="16.2" x14ac:dyDescent="0.45">
      <c r="E44" s="7" t="s">
        <v>49</v>
      </c>
      <c r="F44" s="37"/>
      <c r="G44" s="37"/>
      <c r="H44" s="98">
        <v>1250</v>
      </c>
      <c r="I44" s="37"/>
      <c r="J44" s="23"/>
      <c r="K44" s="102">
        <f t="shared" si="22"/>
        <v>15000</v>
      </c>
    </row>
    <row r="45" spans="2:11" x14ac:dyDescent="0.3">
      <c r="E45" s="12" t="s">
        <v>50</v>
      </c>
      <c r="F45" s="41"/>
      <c r="G45" s="60"/>
      <c r="H45" s="99">
        <f>SUM(H42:H44)</f>
        <v>1883</v>
      </c>
      <c r="I45" s="60"/>
      <c r="J45" s="60"/>
      <c r="K45" s="99">
        <f>SUM(K42:K44)</f>
        <v>22596</v>
      </c>
    </row>
    <row r="46" spans="2:11" x14ac:dyDescent="0.3">
      <c r="E46" s="7"/>
      <c r="F46" s="37"/>
      <c r="G46" s="37"/>
      <c r="H46" s="96"/>
      <c r="I46" s="37"/>
      <c r="J46" s="23"/>
      <c r="K46" s="103"/>
    </row>
    <row r="47" spans="2:11" x14ac:dyDescent="0.3">
      <c r="E47" s="7" t="s">
        <v>51</v>
      </c>
      <c r="F47" s="37"/>
      <c r="G47" s="37"/>
      <c r="H47" s="98">
        <v>500</v>
      </c>
      <c r="I47" s="37"/>
      <c r="J47" s="23"/>
      <c r="K47" s="101">
        <f t="shared" ref="K47:K48" si="23">H47*12</f>
        <v>6000</v>
      </c>
    </row>
    <row r="48" spans="2:11" ht="16.2" x14ac:dyDescent="0.45">
      <c r="E48" s="7" t="s">
        <v>52</v>
      </c>
      <c r="F48" s="37"/>
      <c r="G48" s="37"/>
      <c r="H48" s="98">
        <v>200</v>
      </c>
      <c r="I48" s="37"/>
      <c r="J48" s="23"/>
      <c r="K48" s="102">
        <f t="shared" si="23"/>
        <v>2400</v>
      </c>
    </row>
    <row r="49" spans="2:11" x14ac:dyDescent="0.3">
      <c r="E49" s="12" t="s">
        <v>53</v>
      </c>
      <c r="F49" s="60"/>
      <c r="G49" s="60"/>
      <c r="H49" s="99">
        <f>SUM(H47:H48)</f>
        <v>700</v>
      </c>
      <c r="I49" s="37"/>
      <c r="J49" s="23"/>
      <c r="K49" s="99">
        <f>SUM(K46:K48)</f>
        <v>8400</v>
      </c>
    </row>
    <row r="50" spans="2:11" x14ac:dyDescent="0.3">
      <c r="E50" s="7"/>
      <c r="F50" s="37"/>
      <c r="G50" s="37"/>
      <c r="H50" s="96"/>
      <c r="I50" s="37"/>
      <c r="J50" s="23"/>
      <c r="K50" s="103"/>
    </row>
    <row r="51" spans="2:11" ht="16.2" x14ac:dyDescent="0.45">
      <c r="E51" s="7" t="s">
        <v>54</v>
      </c>
      <c r="F51" s="37"/>
      <c r="G51" s="37"/>
      <c r="H51" s="98">
        <v>833</v>
      </c>
      <c r="I51" s="37"/>
      <c r="J51" s="23"/>
      <c r="K51" s="102">
        <f t="shared" ref="K51" si="24">H51*12</f>
        <v>9996</v>
      </c>
    </row>
    <row r="52" spans="2:11" x14ac:dyDescent="0.3">
      <c r="E52" s="12" t="s">
        <v>55</v>
      </c>
      <c r="F52" s="60"/>
      <c r="G52" s="60"/>
      <c r="H52" s="99">
        <f>SUM(H51)</f>
        <v>833</v>
      </c>
      <c r="I52" s="37"/>
      <c r="J52" s="23"/>
      <c r="K52" s="99">
        <f>SUM(K51)</f>
        <v>9996</v>
      </c>
    </row>
    <row r="53" spans="2:11" x14ac:dyDescent="0.3">
      <c r="E53" s="7"/>
      <c r="F53" s="37"/>
      <c r="G53" s="37"/>
      <c r="H53" s="96"/>
      <c r="I53" s="37"/>
      <c r="J53" s="23"/>
      <c r="K53" s="103"/>
    </row>
    <row r="54" spans="2:11" x14ac:dyDescent="0.3">
      <c r="E54" s="7" t="s">
        <v>56</v>
      </c>
      <c r="F54" s="37"/>
      <c r="G54" s="37"/>
      <c r="H54" s="98">
        <v>400</v>
      </c>
      <c r="I54" s="37"/>
      <c r="J54" s="23"/>
      <c r="K54" s="101">
        <f t="shared" ref="K54:K55" si="25">H54*12</f>
        <v>4800</v>
      </c>
    </row>
    <row r="55" spans="2:11" ht="16.2" x14ac:dyDescent="0.45">
      <c r="E55" s="7" t="s">
        <v>57</v>
      </c>
      <c r="F55" s="37"/>
      <c r="G55" s="37"/>
      <c r="H55" s="98">
        <v>417</v>
      </c>
      <c r="I55" s="37"/>
      <c r="J55" s="23"/>
      <c r="K55" s="102">
        <f t="shared" si="25"/>
        <v>5004</v>
      </c>
    </row>
    <row r="56" spans="2:11" x14ac:dyDescent="0.3">
      <c r="E56" s="12" t="s">
        <v>58</v>
      </c>
      <c r="F56" s="37"/>
      <c r="G56" s="37"/>
      <c r="H56" s="99">
        <f>SUM(H54:H55)</f>
        <v>817</v>
      </c>
      <c r="I56" s="37"/>
      <c r="J56" s="23"/>
      <c r="K56" s="99">
        <f>SUM(K53:K55)</f>
        <v>9804</v>
      </c>
    </row>
    <row r="57" spans="2:11" x14ac:dyDescent="0.3">
      <c r="E57" s="7"/>
      <c r="F57" s="37"/>
      <c r="G57" s="37"/>
      <c r="H57" s="96"/>
      <c r="I57" s="37"/>
      <c r="J57" s="23"/>
      <c r="K57" s="103"/>
    </row>
    <row r="58" spans="2:11" ht="16.2" x14ac:dyDescent="0.45">
      <c r="E58" s="12" t="s">
        <v>59</v>
      </c>
      <c r="F58" s="37"/>
      <c r="G58" s="37"/>
      <c r="H58" s="97">
        <f>H40+H45+H49+H52+H56</f>
        <v>6333</v>
      </c>
      <c r="I58" s="89"/>
      <c r="J58" s="90"/>
      <c r="K58" s="97">
        <f>K40+K45+K49+K52+K56</f>
        <v>75996</v>
      </c>
    </row>
    <row r="59" spans="2:11" x14ac:dyDescent="0.3">
      <c r="E59" s="7"/>
      <c r="F59" s="37"/>
      <c r="G59" s="37"/>
      <c r="H59" s="96"/>
      <c r="I59" s="37"/>
      <c r="J59" s="23"/>
      <c r="K59" s="103"/>
    </row>
    <row r="60" spans="2:11" ht="16.8" thickBot="1" x14ac:dyDescent="0.5">
      <c r="E60" s="15" t="s">
        <v>60</v>
      </c>
      <c r="F60" s="46"/>
      <c r="G60" s="46"/>
      <c r="H60" s="100">
        <f>H35-H58</f>
        <v>969.25</v>
      </c>
      <c r="I60" s="91"/>
      <c r="J60" s="92"/>
      <c r="K60" s="100">
        <f>K35-K58</f>
        <v>11631</v>
      </c>
    </row>
    <row r="61" spans="2:11" ht="15" thickBot="1" x14ac:dyDescent="0.35">
      <c r="F61" s="3"/>
      <c r="G61" s="3"/>
      <c r="H61" s="3"/>
      <c r="I61" s="3"/>
    </row>
    <row r="62" spans="2:11" ht="15" thickBot="1" x14ac:dyDescent="0.35">
      <c r="D62" s="28"/>
      <c r="E62" s="50"/>
      <c r="F62" s="32"/>
      <c r="G62" s="62"/>
      <c r="H62" s="3"/>
      <c r="I62" s="3"/>
    </row>
    <row r="63" spans="2:11" x14ac:dyDescent="0.3">
      <c r="B63" s="28"/>
      <c r="C63" s="29"/>
      <c r="D63" s="28"/>
      <c r="E63" s="57" t="s">
        <v>61</v>
      </c>
      <c r="F63" s="58" t="str">
        <f>F3</f>
        <v>Pat</v>
      </c>
      <c r="G63" s="126" t="str">
        <f>G3</f>
        <v>Leslie</v>
      </c>
      <c r="H63" s="75"/>
      <c r="I63" s="75"/>
      <c r="J63" s="76"/>
    </row>
    <row r="64" spans="2:11" x14ac:dyDescent="0.3">
      <c r="B64" s="7"/>
      <c r="C64" s="34"/>
      <c r="D64" s="7" t="s">
        <v>140</v>
      </c>
      <c r="E64" s="23" t="s">
        <v>34</v>
      </c>
      <c r="F64" s="231">
        <f>I22</f>
        <v>275000</v>
      </c>
      <c r="G64" s="232">
        <f>F64</f>
        <v>275000</v>
      </c>
      <c r="H64" s="77"/>
      <c r="I64" s="77"/>
      <c r="J64" s="72"/>
    </row>
    <row r="65" spans="2:10" x14ac:dyDescent="0.3">
      <c r="B65" s="7"/>
      <c r="C65" s="34"/>
      <c r="D65" s="7" t="s">
        <v>140</v>
      </c>
      <c r="E65" s="23" t="s">
        <v>31</v>
      </c>
      <c r="F65" s="37">
        <f>I18</f>
        <v>16000</v>
      </c>
      <c r="G65" s="96">
        <f>F65</f>
        <v>16000</v>
      </c>
      <c r="H65" s="77"/>
      <c r="I65" s="77"/>
      <c r="J65" s="72"/>
    </row>
    <row r="66" spans="2:10" x14ac:dyDescent="0.3">
      <c r="B66" s="7"/>
      <c r="C66" s="34"/>
      <c r="D66" s="7" t="s">
        <v>139</v>
      </c>
      <c r="E66" s="23" t="s">
        <v>62</v>
      </c>
      <c r="F66" s="37">
        <f>C19</f>
        <v>25000</v>
      </c>
      <c r="G66" s="96">
        <f>F66</f>
        <v>25000</v>
      </c>
      <c r="H66" s="77"/>
      <c r="I66" s="77"/>
      <c r="J66" s="72"/>
    </row>
    <row r="67" spans="2:10" ht="16.2" x14ac:dyDescent="0.45">
      <c r="B67" s="7"/>
      <c r="C67" s="34"/>
      <c r="D67" s="7" t="s">
        <v>139</v>
      </c>
      <c r="E67" s="23" t="s">
        <v>63</v>
      </c>
      <c r="F67" s="59">
        <f>C20</f>
        <v>20000</v>
      </c>
      <c r="G67" s="127">
        <f>F67</f>
        <v>20000</v>
      </c>
      <c r="H67" s="77"/>
      <c r="I67" s="77"/>
      <c r="J67" s="72"/>
    </row>
    <row r="68" spans="2:10" x14ac:dyDescent="0.3">
      <c r="B68" s="7"/>
      <c r="C68" s="34"/>
      <c r="D68" s="7"/>
      <c r="E68" s="41" t="s">
        <v>64</v>
      </c>
      <c r="F68" s="60">
        <f>SUM(F64:F67)</f>
        <v>336000</v>
      </c>
      <c r="G68" s="99">
        <f>SUM(G64:G67)</f>
        <v>336000</v>
      </c>
      <c r="H68" s="77"/>
      <c r="I68" s="77"/>
      <c r="J68" s="72"/>
    </row>
    <row r="69" spans="2:10" x14ac:dyDescent="0.3">
      <c r="B69" s="7"/>
      <c r="C69" s="34"/>
      <c r="D69" s="7"/>
      <c r="E69" s="23"/>
      <c r="F69" s="37"/>
      <c r="G69" s="96"/>
      <c r="H69" s="77"/>
      <c r="I69" s="77"/>
      <c r="J69" s="72"/>
    </row>
    <row r="70" spans="2:10" x14ac:dyDescent="0.3">
      <c r="B70" s="7"/>
      <c r="C70" s="34"/>
      <c r="D70" s="70">
        <v>0.9</v>
      </c>
      <c r="E70" s="23" t="s">
        <v>66</v>
      </c>
      <c r="F70" s="37">
        <f>H42+H43+H44*D70</f>
        <v>1758</v>
      </c>
      <c r="G70" s="96" t="s">
        <v>110</v>
      </c>
      <c r="H70" s="77"/>
      <c r="I70" s="77"/>
      <c r="J70" s="72"/>
    </row>
    <row r="71" spans="2:10" ht="16.2" x14ac:dyDescent="0.45">
      <c r="B71" s="7"/>
      <c r="C71" s="34"/>
      <c r="D71" s="7"/>
      <c r="E71" s="23" t="s">
        <v>67</v>
      </c>
      <c r="F71" s="59">
        <f>H47</f>
        <v>500</v>
      </c>
      <c r="G71" s="96" t="s">
        <v>110</v>
      </c>
      <c r="H71" s="77"/>
      <c r="I71" s="77"/>
      <c r="J71" s="72"/>
    </row>
    <row r="72" spans="2:10" ht="15" thickBot="1" x14ac:dyDescent="0.35">
      <c r="B72" s="43"/>
      <c r="C72" s="48"/>
      <c r="D72" s="43"/>
      <c r="E72" s="44"/>
      <c r="F72" s="46">
        <f>SUM(F70:F71)</f>
        <v>2258</v>
      </c>
      <c r="G72" s="128"/>
      <c r="H72" s="78"/>
      <c r="I72" s="78"/>
      <c r="J72" s="74"/>
    </row>
    <row r="73" spans="2:10" ht="28.8" x14ac:dyDescent="0.3">
      <c r="B73" s="28"/>
      <c r="C73" s="29" t="s">
        <v>82</v>
      </c>
      <c r="D73" s="50">
        <f>C28</f>
        <v>65</v>
      </c>
      <c r="E73" s="31" t="s">
        <v>84</v>
      </c>
      <c r="F73" s="32"/>
      <c r="G73" s="129"/>
      <c r="H73" s="75"/>
      <c r="I73" s="75"/>
      <c r="J73" s="76"/>
    </row>
    <row r="74" spans="2:10" x14ac:dyDescent="0.3">
      <c r="B74" s="7" t="s">
        <v>83</v>
      </c>
      <c r="C74" s="34" t="str">
        <f>B3</f>
        <v>Pat</v>
      </c>
      <c r="D74" s="23">
        <f>C28-C3</f>
        <v>32</v>
      </c>
      <c r="E74" s="23" t="s">
        <v>68</v>
      </c>
      <c r="F74" s="37"/>
      <c r="G74" s="96"/>
      <c r="H74" s="77"/>
      <c r="I74" s="77"/>
      <c r="J74" s="72"/>
    </row>
    <row r="75" spans="2:10" x14ac:dyDescent="0.3">
      <c r="B75" s="7"/>
      <c r="C75" s="34" t="s">
        <v>78</v>
      </c>
      <c r="D75" s="35">
        <v>12</v>
      </c>
      <c r="E75" s="23" t="s">
        <v>73</v>
      </c>
      <c r="F75" s="36">
        <f>D74*D75</f>
        <v>384</v>
      </c>
      <c r="G75" s="96"/>
      <c r="H75" s="77"/>
      <c r="I75" s="77"/>
      <c r="J75" s="72"/>
    </row>
    <row r="76" spans="2:10" x14ac:dyDescent="0.3">
      <c r="B76" s="7"/>
      <c r="C76" s="34" t="s">
        <v>79</v>
      </c>
      <c r="D76" s="23"/>
      <c r="E76" s="23" t="s">
        <v>74</v>
      </c>
      <c r="F76" s="39">
        <f>C24-C26</f>
        <v>1.4999999999999996E-2</v>
      </c>
      <c r="G76" s="199" t="s">
        <v>123</v>
      </c>
      <c r="H76" s="77"/>
      <c r="I76" s="77"/>
      <c r="J76" s="72"/>
    </row>
    <row r="77" spans="2:10" x14ac:dyDescent="0.3">
      <c r="B77" s="7"/>
      <c r="C77" s="34" t="s">
        <v>80</v>
      </c>
      <c r="D77" s="35">
        <v>0</v>
      </c>
      <c r="E77" s="23" t="s">
        <v>75</v>
      </c>
      <c r="F77" s="37">
        <f>-F72</f>
        <v>-2258</v>
      </c>
      <c r="G77" s="96"/>
      <c r="H77" s="77"/>
      <c r="I77" s="77"/>
      <c r="J77" s="72"/>
    </row>
    <row r="78" spans="2:10" x14ac:dyDescent="0.3">
      <c r="B78" s="7"/>
      <c r="C78" s="34" t="s">
        <v>81</v>
      </c>
      <c r="D78" s="35">
        <v>1</v>
      </c>
      <c r="E78" s="23" t="s">
        <v>76</v>
      </c>
      <c r="F78" s="37">
        <v>0</v>
      </c>
      <c r="G78" s="96"/>
      <c r="H78" s="77"/>
      <c r="I78" s="77"/>
      <c r="J78" s="72"/>
    </row>
    <row r="79" spans="2:10" ht="15" thickBot="1" x14ac:dyDescent="0.35">
      <c r="B79" s="43"/>
      <c r="C79" s="48"/>
      <c r="D79" s="44"/>
      <c r="E79" s="45" t="s">
        <v>77</v>
      </c>
      <c r="F79" s="49">
        <f>PV(F76/D75,F75,F77,F78,D77)</f>
        <v>688294.57890558988</v>
      </c>
      <c r="G79" s="128"/>
      <c r="H79" s="78"/>
      <c r="I79" s="78"/>
      <c r="J79" s="74"/>
    </row>
    <row r="80" spans="2:10" x14ac:dyDescent="0.3">
      <c r="B80" s="28" t="s">
        <v>85</v>
      </c>
      <c r="C80" s="29" t="s">
        <v>2</v>
      </c>
      <c r="D80" s="30">
        <v>14</v>
      </c>
      <c r="E80" s="31" t="s">
        <v>2</v>
      </c>
      <c r="F80" s="32"/>
      <c r="G80" s="129"/>
      <c r="H80" s="75"/>
      <c r="I80" s="75"/>
      <c r="J80" s="76"/>
    </row>
    <row r="81" spans="2:10" x14ac:dyDescent="0.3">
      <c r="B81" s="7"/>
      <c r="C81" s="34" t="s">
        <v>78</v>
      </c>
      <c r="D81" s="35">
        <v>1</v>
      </c>
      <c r="E81" s="23" t="s">
        <v>73</v>
      </c>
      <c r="F81" s="36">
        <f>D80-C6</f>
        <v>9</v>
      </c>
      <c r="G81" s="96"/>
      <c r="H81" s="77"/>
      <c r="I81" s="77"/>
      <c r="J81" s="72"/>
    </row>
    <row r="82" spans="2:10" x14ac:dyDescent="0.3">
      <c r="B82" s="7"/>
      <c r="C82" s="34"/>
      <c r="D82" s="23"/>
      <c r="E82" s="23" t="s">
        <v>74</v>
      </c>
      <c r="F82" s="39">
        <f>F76</f>
        <v>1.4999999999999996E-2</v>
      </c>
      <c r="G82" s="199" t="s">
        <v>123</v>
      </c>
      <c r="H82" s="71"/>
      <c r="I82" s="71"/>
      <c r="J82" s="72"/>
    </row>
    <row r="83" spans="2:10" x14ac:dyDescent="0.3">
      <c r="B83" s="7"/>
      <c r="C83" s="34"/>
      <c r="D83" s="23"/>
      <c r="E83" s="23" t="s">
        <v>75</v>
      </c>
      <c r="F83" s="37">
        <f>-K52/2</f>
        <v>-4998</v>
      </c>
      <c r="G83" s="96"/>
      <c r="H83" s="71"/>
      <c r="I83" s="71"/>
      <c r="J83" s="72"/>
    </row>
    <row r="84" spans="2:10" x14ac:dyDescent="0.3">
      <c r="B84" s="7"/>
      <c r="C84" s="34"/>
      <c r="D84" s="23"/>
      <c r="E84" s="23" t="s">
        <v>76</v>
      </c>
      <c r="F84" s="37">
        <v>0</v>
      </c>
      <c r="G84" s="96"/>
      <c r="H84" s="71"/>
      <c r="I84" s="71"/>
      <c r="J84" s="72"/>
    </row>
    <row r="85" spans="2:10" ht="15" thickBot="1" x14ac:dyDescent="0.35">
      <c r="B85" s="43"/>
      <c r="C85" s="48"/>
      <c r="D85" s="44"/>
      <c r="E85" s="45" t="s">
        <v>77</v>
      </c>
      <c r="F85" s="49">
        <f>PV(F82/D81,F81,F83,F84,D77)</f>
        <v>41785.865566020642</v>
      </c>
      <c r="G85" s="128"/>
      <c r="H85" s="73"/>
      <c r="I85" s="73"/>
      <c r="J85" s="74"/>
    </row>
    <row r="86" spans="2:10" x14ac:dyDescent="0.3">
      <c r="B86" s="28" t="s">
        <v>85</v>
      </c>
      <c r="C86" s="29" t="s">
        <v>3</v>
      </c>
      <c r="D86" s="50">
        <f>D80</f>
        <v>14</v>
      </c>
      <c r="E86" s="31" t="s">
        <v>3</v>
      </c>
      <c r="F86" s="32"/>
      <c r="G86" s="129"/>
      <c r="H86" s="79"/>
      <c r="I86" s="79"/>
      <c r="J86" s="76"/>
    </row>
    <row r="87" spans="2:10" x14ac:dyDescent="0.3">
      <c r="B87" s="7"/>
      <c r="C87" s="34" t="s">
        <v>78</v>
      </c>
      <c r="D87" s="23">
        <v>1</v>
      </c>
      <c r="E87" s="23" t="s">
        <v>73</v>
      </c>
      <c r="F87" s="36">
        <f>D86-C7</f>
        <v>7</v>
      </c>
      <c r="G87" s="96"/>
      <c r="H87" s="71"/>
      <c r="I87" s="71"/>
      <c r="J87" s="72"/>
    </row>
    <row r="88" spans="2:10" x14ac:dyDescent="0.3">
      <c r="B88" s="7"/>
      <c r="C88" s="34"/>
      <c r="D88" s="23"/>
      <c r="E88" s="23" t="s">
        <v>74</v>
      </c>
      <c r="F88" s="39">
        <f>F82</f>
        <v>1.4999999999999996E-2</v>
      </c>
      <c r="G88" s="199" t="s">
        <v>123</v>
      </c>
      <c r="H88" s="71"/>
      <c r="I88" s="71"/>
      <c r="J88" s="72"/>
    </row>
    <row r="89" spans="2:10" x14ac:dyDescent="0.3">
      <c r="B89" s="7"/>
      <c r="C89" s="34"/>
      <c r="D89" s="23"/>
      <c r="E89" s="23" t="s">
        <v>75</v>
      </c>
      <c r="F89" s="37">
        <f>F83</f>
        <v>-4998</v>
      </c>
      <c r="G89" s="96"/>
      <c r="H89" s="71"/>
      <c r="I89" s="71"/>
      <c r="J89" s="72"/>
    </row>
    <row r="90" spans="2:10" x14ac:dyDescent="0.3">
      <c r="B90" s="7"/>
      <c r="C90" s="34"/>
      <c r="D90" s="23"/>
      <c r="E90" s="23" t="s">
        <v>76</v>
      </c>
      <c r="F90" s="37">
        <v>0</v>
      </c>
      <c r="G90" s="96"/>
      <c r="H90" s="71"/>
      <c r="I90" s="71"/>
      <c r="J90" s="72"/>
    </row>
    <row r="91" spans="2:10" ht="15" thickBot="1" x14ac:dyDescent="0.35">
      <c r="B91" s="7"/>
      <c r="C91" s="34"/>
      <c r="D91" s="23"/>
      <c r="E91" s="41" t="s">
        <v>77</v>
      </c>
      <c r="F91" s="42">
        <f>PV(F88/D87,F87,F89,F90,D77)</f>
        <v>32977.873352753682</v>
      </c>
      <c r="G91" s="96"/>
      <c r="H91" s="71"/>
      <c r="I91" s="71"/>
      <c r="J91" s="72"/>
    </row>
    <row r="92" spans="2:10" ht="15" thickBot="1" x14ac:dyDescent="0.35">
      <c r="B92" s="52"/>
      <c r="C92" s="53"/>
      <c r="D92" s="54"/>
      <c r="E92" s="55" t="s">
        <v>86</v>
      </c>
      <c r="F92" s="56">
        <f>F79+F85+F91</f>
        <v>763058.31782436417</v>
      </c>
      <c r="G92" s="130">
        <f>F92</f>
        <v>763058.31782436417</v>
      </c>
      <c r="H92" s="80"/>
      <c r="I92" s="80"/>
      <c r="J92" s="81"/>
    </row>
    <row r="93" spans="2:10" ht="15" thickBot="1" x14ac:dyDescent="0.35">
      <c r="G93" s="103"/>
    </row>
    <row r="94" spans="2:10" x14ac:dyDescent="0.3">
      <c r="E94" s="189" t="s">
        <v>96</v>
      </c>
      <c r="F94" s="190"/>
      <c r="G94" s="198" t="s">
        <v>129</v>
      </c>
    </row>
    <row r="95" spans="2:10" x14ac:dyDescent="0.3">
      <c r="E95" s="7" t="s">
        <v>73</v>
      </c>
      <c r="F95" s="194">
        <f>D100-C6</f>
        <v>13</v>
      </c>
      <c r="G95" s="38"/>
    </row>
    <row r="96" spans="2:10" x14ac:dyDescent="0.3">
      <c r="E96" s="7" t="s">
        <v>74</v>
      </c>
      <c r="F96" s="195">
        <f>C31</f>
        <v>0.05</v>
      </c>
      <c r="G96" s="38" t="s">
        <v>131</v>
      </c>
    </row>
    <row r="97" spans="2:10" x14ac:dyDescent="0.3">
      <c r="E97" s="7" t="s">
        <v>93</v>
      </c>
      <c r="F97" s="38">
        <f>C30</f>
        <v>10000</v>
      </c>
      <c r="G97" s="38"/>
    </row>
    <row r="98" spans="2:10" x14ac:dyDescent="0.3">
      <c r="E98" s="7" t="s">
        <v>75</v>
      </c>
      <c r="F98" s="38">
        <v>0</v>
      </c>
      <c r="G98" s="38"/>
    </row>
    <row r="99" spans="2:10" ht="15" thickBot="1" x14ac:dyDescent="0.35">
      <c r="E99" s="15" t="s">
        <v>94</v>
      </c>
      <c r="F99" s="196">
        <f>FV(F96/D101,F95,F98,F97,D77)</f>
        <v>-18856.491423232361</v>
      </c>
      <c r="G99" s="65"/>
    </row>
    <row r="100" spans="2:10" x14ac:dyDescent="0.3">
      <c r="B100" s="4" t="s">
        <v>87</v>
      </c>
      <c r="C100" s="61" t="s">
        <v>91</v>
      </c>
      <c r="D100" s="30">
        <v>18</v>
      </c>
      <c r="E100" s="31" t="s">
        <v>2</v>
      </c>
      <c r="F100" s="32"/>
      <c r="G100" s="197" t="s">
        <v>130</v>
      </c>
    </row>
    <row r="101" spans="2:10" x14ac:dyDescent="0.3">
      <c r="B101" s="7"/>
      <c r="C101" s="63" t="s">
        <v>78</v>
      </c>
      <c r="D101" s="35">
        <v>1</v>
      </c>
      <c r="E101" s="23" t="s">
        <v>73</v>
      </c>
      <c r="F101" s="36">
        <f>C32</f>
        <v>4</v>
      </c>
      <c r="G101" s="96"/>
    </row>
    <row r="102" spans="2:10" x14ac:dyDescent="0.3">
      <c r="B102" s="7"/>
      <c r="C102" s="63"/>
      <c r="D102" s="23"/>
      <c r="E102" s="23" t="s">
        <v>74</v>
      </c>
      <c r="F102" s="170">
        <f>C31</f>
        <v>0.05</v>
      </c>
      <c r="G102" s="199" t="s">
        <v>117</v>
      </c>
    </row>
    <row r="103" spans="2:10" x14ac:dyDescent="0.3">
      <c r="B103" s="7"/>
      <c r="C103" s="63"/>
      <c r="D103" s="23"/>
      <c r="E103" s="23" t="s">
        <v>75</v>
      </c>
      <c r="F103" s="40">
        <f>F99</f>
        <v>-18856.491423232361</v>
      </c>
      <c r="G103" s="96"/>
    </row>
    <row r="104" spans="2:10" x14ac:dyDescent="0.3">
      <c r="B104" s="7"/>
      <c r="C104" s="63"/>
      <c r="D104" s="23"/>
      <c r="E104" s="23" t="s">
        <v>76</v>
      </c>
      <c r="F104" s="124">
        <v>0</v>
      </c>
      <c r="G104" s="96"/>
    </row>
    <row r="105" spans="2:10" ht="15" thickBot="1" x14ac:dyDescent="0.35">
      <c r="B105" s="7"/>
      <c r="C105" s="64" t="s">
        <v>97</v>
      </c>
      <c r="D105" s="44"/>
      <c r="E105" s="45" t="s">
        <v>77</v>
      </c>
      <c r="F105" s="49">
        <f>PV(F102/D101,F101,F103,F104,D77)</f>
        <v>66864.185268944013</v>
      </c>
      <c r="G105" s="128"/>
    </row>
    <row r="106" spans="2:10" x14ac:dyDescent="0.3">
      <c r="B106" s="7"/>
      <c r="C106" s="61" t="s">
        <v>78</v>
      </c>
      <c r="D106" s="50">
        <v>1</v>
      </c>
      <c r="E106" s="50" t="s">
        <v>73</v>
      </c>
      <c r="F106" s="66">
        <f>F95</f>
        <v>13</v>
      </c>
      <c r="G106" s="197" t="s">
        <v>132</v>
      </c>
      <c r="H106" s="71"/>
      <c r="I106" s="71"/>
      <c r="J106" s="72"/>
    </row>
    <row r="107" spans="2:10" x14ac:dyDescent="0.3">
      <c r="B107" s="7"/>
      <c r="C107" s="63"/>
      <c r="D107" s="23"/>
      <c r="E107" s="23" t="s">
        <v>74</v>
      </c>
      <c r="F107" s="170">
        <f>C24</f>
        <v>3.4999999999999996E-2</v>
      </c>
      <c r="G107" s="99" t="s">
        <v>125</v>
      </c>
      <c r="H107" s="71" t="s">
        <v>124</v>
      </c>
      <c r="I107" s="71"/>
      <c r="J107" s="72"/>
    </row>
    <row r="108" spans="2:10" x14ac:dyDescent="0.3">
      <c r="B108" s="7"/>
      <c r="C108" s="63"/>
      <c r="D108" s="23"/>
      <c r="E108" s="23" t="s">
        <v>75</v>
      </c>
      <c r="F108" s="124">
        <v>0</v>
      </c>
      <c r="G108" s="96"/>
      <c r="H108" s="71"/>
      <c r="I108" s="71"/>
      <c r="J108" s="72"/>
    </row>
    <row r="109" spans="2:10" x14ac:dyDescent="0.3">
      <c r="B109" s="7"/>
      <c r="C109" s="63"/>
      <c r="D109" s="23"/>
      <c r="E109" s="23" t="s">
        <v>76</v>
      </c>
      <c r="F109" s="40">
        <f>F105</f>
        <v>66864.185268944013</v>
      </c>
      <c r="G109" s="96"/>
      <c r="H109" s="71"/>
      <c r="I109" s="71"/>
      <c r="J109" s="72"/>
    </row>
    <row r="110" spans="2:10" x14ac:dyDescent="0.3">
      <c r="B110" s="7"/>
      <c r="C110" s="67" t="s">
        <v>98</v>
      </c>
      <c r="D110" s="23"/>
      <c r="E110" s="41" t="s">
        <v>77</v>
      </c>
      <c r="F110" s="42">
        <f>PV(F107/D106,F106,F108,F109,D77)</f>
        <v>-42753.23774366876</v>
      </c>
      <c r="G110" s="96"/>
      <c r="H110" s="71"/>
      <c r="I110" s="71"/>
      <c r="J110" s="72"/>
    </row>
    <row r="111" spans="2:10" x14ac:dyDescent="0.3">
      <c r="B111" s="7"/>
      <c r="C111" s="67"/>
      <c r="D111" s="23"/>
      <c r="E111" s="41" t="s">
        <v>99</v>
      </c>
      <c r="F111" s="47">
        <f>C34</f>
        <v>15000</v>
      </c>
      <c r="G111" s="96"/>
      <c r="H111" s="71"/>
      <c r="I111" s="71"/>
      <c r="J111" s="72"/>
    </row>
    <row r="112" spans="2:10" ht="15" thickBot="1" x14ac:dyDescent="0.35">
      <c r="B112" s="43"/>
      <c r="C112" s="68"/>
      <c r="D112" s="44"/>
      <c r="E112" s="45" t="s">
        <v>98</v>
      </c>
      <c r="F112" s="49">
        <f>SUM(F110:F111)</f>
        <v>-27753.23774366876</v>
      </c>
      <c r="G112" s="128"/>
      <c r="H112" s="73"/>
      <c r="I112" s="73"/>
      <c r="J112" s="74"/>
    </row>
    <row r="113" spans="2:10" x14ac:dyDescent="0.3">
      <c r="B113" s="7"/>
      <c r="C113" s="63"/>
      <c r="D113" s="23"/>
      <c r="E113" s="188" t="s">
        <v>96</v>
      </c>
      <c r="F113" s="188"/>
      <c r="G113" s="198" t="s">
        <v>129</v>
      </c>
      <c r="H113" s="71"/>
      <c r="I113" s="71"/>
      <c r="J113" s="72"/>
    </row>
    <row r="114" spans="2:10" x14ac:dyDescent="0.3">
      <c r="B114" s="7"/>
      <c r="C114" s="63"/>
      <c r="D114" s="23"/>
      <c r="E114" s="23" t="s">
        <v>73</v>
      </c>
      <c r="F114" s="36">
        <f>D119-C7</f>
        <v>11</v>
      </c>
      <c r="G114" s="38"/>
      <c r="H114" s="71"/>
      <c r="I114" s="71"/>
      <c r="J114" s="72"/>
    </row>
    <row r="115" spans="2:10" x14ac:dyDescent="0.3">
      <c r="B115" s="7"/>
      <c r="C115" s="63"/>
      <c r="D115" s="23"/>
      <c r="E115" s="23" t="s">
        <v>74</v>
      </c>
      <c r="F115" s="169">
        <f>F96</f>
        <v>0.05</v>
      </c>
      <c r="G115" s="38" t="s">
        <v>40</v>
      </c>
      <c r="H115" s="71"/>
      <c r="I115" s="71"/>
      <c r="J115" s="72"/>
    </row>
    <row r="116" spans="2:10" x14ac:dyDescent="0.3">
      <c r="B116" s="7"/>
      <c r="C116" s="63"/>
      <c r="D116" s="23"/>
      <c r="E116" s="23" t="s">
        <v>93</v>
      </c>
      <c r="F116" s="37">
        <f>F97</f>
        <v>10000</v>
      </c>
      <c r="G116" s="38"/>
      <c r="H116" s="71"/>
      <c r="I116" s="71"/>
      <c r="J116" s="72"/>
    </row>
    <row r="117" spans="2:10" x14ac:dyDescent="0.3">
      <c r="B117" s="7"/>
      <c r="C117" s="63"/>
      <c r="D117" s="23"/>
      <c r="E117" s="23" t="s">
        <v>75</v>
      </c>
      <c r="F117" s="37">
        <v>0</v>
      </c>
      <c r="G117" s="38"/>
      <c r="H117" s="71"/>
      <c r="I117" s="71"/>
      <c r="J117" s="72"/>
    </row>
    <row r="118" spans="2:10" ht="15" thickBot="1" x14ac:dyDescent="0.35">
      <c r="B118" s="7"/>
      <c r="C118" s="63"/>
      <c r="D118" s="23"/>
      <c r="E118" s="45" t="s">
        <v>94</v>
      </c>
      <c r="F118" s="49">
        <f>FV(F115/D120,F114,F117,F116,0)</f>
        <v>-17103.393581163138</v>
      </c>
      <c r="G118" s="65"/>
      <c r="H118" s="71"/>
      <c r="I118" s="71"/>
      <c r="J118" s="72"/>
    </row>
    <row r="119" spans="2:10" x14ac:dyDescent="0.3">
      <c r="B119" s="4" t="s">
        <v>87</v>
      </c>
      <c r="C119" s="61" t="s">
        <v>92</v>
      </c>
      <c r="D119" s="50">
        <f>D100</f>
        <v>18</v>
      </c>
      <c r="E119" s="31" t="s">
        <v>3</v>
      </c>
      <c r="F119" s="32"/>
      <c r="G119" s="197" t="s">
        <v>130</v>
      </c>
    </row>
    <row r="120" spans="2:10" x14ac:dyDescent="0.3">
      <c r="B120" s="7"/>
      <c r="C120" s="63" t="s">
        <v>78</v>
      </c>
      <c r="D120" s="23">
        <f>D101</f>
        <v>1</v>
      </c>
      <c r="E120" s="23" t="s">
        <v>73</v>
      </c>
      <c r="F120" s="36">
        <f>F101</f>
        <v>4</v>
      </c>
      <c r="G120" s="96"/>
    </row>
    <row r="121" spans="2:10" x14ac:dyDescent="0.3">
      <c r="B121" s="7"/>
      <c r="C121" s="63"/>
      <c r="D121" s="23"/>
      <c r="E121" s="23" t="s">
        <v>74</v>
      </c>
      <c r="F121" s="170">
        <f>F102</f>
        <v>0.05</v>
      </c>
      <c r="G121" s="96" t="s">
        <v>117</v>
      </c>
    </row>
    <row r="122" spans="2:10" x14ac:dyDescent="0.3">
      <c r="B122" s="7"/>
      <c r="C122" s="63"/>
      <c r="D122" s="23"/>
      <c r="E122" s="23" t="s">
        <v>75</v>
      </c>
      <c r="F122" s="40">
        <f>F118</f>
        <v>-17103.393581163138</v>
      </c>
      <c r="G122" s="96"/>
    </row>
    <row r="123" spans="2:10" x14ac:dyDescent="0.3">
      <c r="B123" s="7"/>
      <c r="C123" s="63"/>
      <c r="D123" s="23"/>
      <c r="E123" s="23" t="s">
        <v>76</v>
      </c>
      <c r="F123" s="124">
        <v>0</v>
      </c>
      <c r="G123" s="96"/>
    </row>
    <row r="124" spans="2:10" ht="15" thickBot="1" x14ac:dyDescent="0.35">
      <c r="B124" s="7"/>
      <c r="C124" s="64" t="s">
        <v>97</v>
      </c>
      <c r="D124" s="44"/>
      <c r="E124" s="45" t="s">
        <v>77</v>
      </c>
      <c r="F124" s="49">
        <f>PV(F121/D120,F120,F122,F123,0)</f>
        <v>60647.78709201271</v>
      </c>
      <c r="G124" s="128"/>
    </row>
    <row r="125" spans="2:10" x14ac:dyDescent="0.3">
      <c r="B125" s="7"/>
      <c r="C125" s="61" t="s">
        <v>78</v>
      </c>
      <c r="D125" s="50">
        <f>D120</f>
        <v>1</v>
      </c>
      <c r="E125" s="50" t="s">
        <v>73</v>
      </c>
      <c r="F125" s="66">
        <f>F114</f>
        <v>11</v>
      </c>
      <c r="G125" s="197" t="s">
        <v>132</v>
      </c>
      <c r="H125" s="71"/>
      <c r="I125" s="71"/>
      <c r="J125" s="72"/>
    </row>
    <row r="126" spans="2:10" x14ac:dyDescent="0.3">
      <c r="B126" s="7"/>
      <c r="C126" s="63"/>
      <c r="D126" s="23"/>
      <c r="E126" s="23" t="s">
        <v>74</v>
      </c>
      <c r="F126" s="170">
        <f>F107</f>
        <v>3.4999999999999996E-2</v>
      </c>
      <c r="G126" s="96" t="s">
        <v>125</v>
      </c>
      <c r="H126" s="71" t="s">
        <v>124</v>
      </c>
      <c r="I126" s="71"/>
      <c r="J126" s="72"/>
    </row>
    <row r="127" spans="2:10" x14ac:dyDescent="0.3">
      <c r="B127" s="7"/>
      <c r="C127" s="63"/>
      <c r="D127" s="23"/>
      <c r="E127" s="23" t="s">
        <v>75</v>
      </c>
      <c r="F127" s="124">
        <v>0</v>
      </c>
      <c r="G127" s="96"/>
      <c r="H127" s="71"/>
      <c r="I127" s="71"/>
      <c r="J127" s="72"/>
    </row>
    <row r="128" spans="2:10" x14ac:dyDescent="0.3">
      <c r="B128" s="7"/>
      <c r="C128" s="63"/>
      <c r="D128" s="23"/>
      <c r="E128" s="23" t="s">
        <v>76</v>
      </c>
      <c r="F128" s="40">
        <f>F124</f>
        <v>60647.78709201271</v>
      </c>
      <c r="G128" s="96"/>
      <c r="H128" s="71"/>
      <c r="I128" s="71"/>
      <c r="J128" s="72"/>
    </row>
    <row r="129" spans="2:10" x14ac:dyDescent="0.3">
      <c r="B129" s="7"/>
      <c r="C129" s="67" t="s">
        <v>98</v>
      </c>
      <c r="D129" s="23"/>
      <c r="E129" s="41" t="s">
        <v>77</v>
      </c>
      <c r="F129" s="42">
        <f>PV(F126/D125,F125,F127,F128,0)</f>
        <v>-41540.441815838145</v>
      </c>
      <c r="G129" s="96"/>
      <c r="H129" s="71"/>
      <c r="I129" s="71"/>
      <c r="J129" s="72"/>
    </row>
    <row r="130" spans="2:10" x14ac:dyDescent="0.3">
      <c r="B130" s="7"/>
      <c r="C130" s="63"/>
      <c r="D130" s="23"/>
      <c r="E130" s="41" t="s">
        <v>99</v>
      </c>
      <c r="F130" s="47">
        <f>C35</f>
        <v>20000</v>
      </c>
      <c r="G130" s="103"/>
      <c r="H130" s="71"/>
      <c r="I130" s="71"/>
      <c r="J130" s="72"/>
    </row>
    <row r="131" spans="2:10" ht="15" thickBot="1" x14ac:dyDescent="0.35">
      <c r="B131" s="7"/>
      <c r="C131" s="68"/>
      <c r="D131" s="44"/>
      <c r="E131" s="45" t="s">
        <v>98</v>
      </c>
      <c r="F131" s="49">
        <f>SUM(F129:F130)</f>
        <v>-21540.441815838145</v>
      </c>
      <c r="G131" s="131"/>
      <c r="H131" s="71"/>
      <c r="I131" s="71"/>
      <c r="J131" s="72"/>
    </row>
    <row r="132" spans="2:10" ht="15" thickBot="1" x14ac:dyDescent="0.35">
      <c r="B132" s="52"/>
      <c r="C132" s="69"/>
      <c r="D132" s="54"/>
      <c r="E132" s="55" t="s">
        <v>87</v>
      </c>
      <c r="F132" s="56">
        <f>-F112-F131</f>
        <v>49293.679559506905</v>
      </c>
      <c r="G132" s="130">
        <f>F132</f>
        <v>49293.679559506905</v>
      </c>
      <c r="H132" s="80"/>
      <c r="I132" s="80"/>
      <c r="J132" s="81"/>
    </row>
    <row r="133" spans="2:10" ht="43.2" x14ac:dyDescent="0.3">
      <c r="C133" s="230" t="s">
        <v>108</v>
      </c>
      <c r="D133" s="50"/>
      <c r="E133" s="50"/>
      <c r="F133" s="114" t="str">
        <f>F63</f>
        <v>Pat</v>
      </c>
      <c r="G133" s="132" t="str">
        <f>G63</f>
        <v>Leslie</v>
      </c>
    </row>
    <row r="134" spans="2:10" x14ac:dyDescent="0.3">
      <c r="C134" s="63" t="s">
        <v>78</v>
      </c>
      <c r="D134" s="23">
        <v>12</v>
      </c>
      <c r="E134" s="23" t="s">
        <v>73</v>
      </c>
      <c r="F134" s="116">
        <f>(C28-C4)*D134</f>
        <v>360</v>
      </c>
      <c r="G134" s="133">
        <f>(C28-C3)*D134</f>
        <v>384</v>
      </c>
    </row>
    <row r="135" spans="2:10" x14ac:dyDescent="0.3">
      <c r="C135" s="63"/>
      <c r="D135" s="23"/>
      <c r="E135" s="23" t="s">
        <v>74</v>
      </c>
      <c r="F135" s="161">
        <f>C24</f>
        <v>3.4999999999999996E-2</v>
      </c>
      <c r="G135" s="162">
        <f>F135</f>
        <v>3.4999999999999996E-2</v>
      </c>
      <c r="H135" s="96"/>
    </row>
    <row r="136" spans="2:10" ht="15" thickBot="1" x14ac:dyDescent="0.35">
      <c r="C136" s="63" t="s">
        <v>27</v>
      </c>
      <c r="D136" s="23"/>
      <c r="E136" s="23" t="s">
        <v>93</v>
      </c>
      <c r="F136" s="118">
        <f>-F8</f>
        <v>-6700</v>
      </c>
      <c r="G136" s="135">
        <f>F136</f>
        <v>-6700</v>
      </c>
    </row>
    <row r="137" spans="2:10" ht="43.8" thickBot="1" x14ac:dyDescent="0.35">
      <c r="C137" s="63"/>
      <c r="D137" s="23"/>
      <c r="E137" s="23" t="s">
        <v>75</v>
      </c>
      <c r="F137" s="86">
        <f>-H54</f>
        <v>-400</v>
      </c>
      <c r="G137" s="136">
        <v>-1000</v>
      </c>
      <c r="H137" s="119" t="s">
        <v>103</v>
      </c>
    </row>
    <row r="138" spans="2:10" ht="15" thickBot="1" x14ac:dyDescent="0.35">
      <c r="C138" s="68"/>
      <c r="D138" s="44"/>
      <c r="E138" s="45" t="s">
        <v>94</v>
      </c>
      <c r="F138" s="125">
        <f>FV(F135/D134,F134,F137,F136,D77)</f>
        <v>273282.12094794237</v>
      </c>
      <c r="G138" s="137">
        <f>FV(G135/D134,G134,G137,G136,D77)</f>
        <v>726739.49545846367</v>
      </c>
      <c r="H138" s="2"/>
    </row>
    <row r="139" spans="2:10" x14ac:dyDescent="0.3">
      <c r="C139" s="61" t="s">
        <v>78</v>
      </c>
      <c r="D139" s="50">
        <v>1</v>
      </c>
      <c r="E139" s="50" t="s">
        <v>73</v>
      </c>
      <c r="F139" s="50">
        <f>F134/D134</f>
        <v>30</v>
      </c>
      <c r="G139" s="138">
        <f>G134/D134</f>
        <v>32</v>
      </c>
    </row>
    <row r="140" spans="2:10" x14ac:dyDescent="0.3">
      <c r="C140" s="63"/>
      <c r="D140" s="23"/>
      <c r="E140" s="23" t="s">
        <v>74</v>
      </c>
      <c r="F140" s="163">
        <f>F135</f>
        <v>3.4999999999999996E-2</v>
      </c>
      <c r="G140" s="164">
        <f>G135</f>
        <v>3.4999999999999996E-2</v>
      </c>
      <c r="H140" s="96"/>
    </row>
    <row r="141" spans="2:10" x14ac:dyDescent="0.3">
      <c r="C141" s="63"/>
      <c r="D141" s="23"/>
      <c r="E141" s="23" t="s">
        <v>75</v>
      </c>
      <c r="F141" s="93">
        <v>0</v>
      </c>
      <c r="G141" s="98">
        <v>0</v>
      </c>
    </row>
    <row r="142" spans="2:10" x14ac:dyDescent="0.3">
      <c r="C142" s="63"/>
      <c r="D142" s="23"/>
      <c r="E142" s="23" t="s">
        <v>76</v>
      </c>
      <c r="F142" s="122">
        <f>-F138</f>
        <v>-273282.12094794237</v>
      </c>
      <c r="G142" s="140">
        <f>-G138</f>
        <v>-726739.49545846367</v>
      </c>
    </row>
    <row r="143" spans="2:10" ht="15" thickBot="1" x14ac:dyDescent="0.35">
      <c r="C143" s="68"/>
      <c r="D143" s="44"/>
      <c r="E143" s="45" t="s">
        <v>77</v>
      </c>
      <c r="F143" s="51">
        <f>PV(F140/D139,F139,F141,F142,D77)</f>
        <v>97364.519697359065</v>
      </c>
      <c r="G143" s="141">
        <f>PV(G140/D139,G139,G141,G142,D77)</f>
        <v>241706.07702757185</v>
      </c>
    </row>
    <row r="144" spans="2:10" ht="28.8" x14ac:dyDescent="0.3">
      <c r="C144" s="113" t="s">
        <v>104</v>
      </c>
      <c r="D144" s="50"/>
      <c r="E144" s="50"/>
      <c r="F144" s="114" t="str">
        <f>F133</f>
        <v>Pat</v>
      </c>
      <c r="G144" s="115" t="str">
        <f>G133</f>
        <v>Leslie</v>
      </c>
    </row>
    <row r="145" spans="3:7" x14ac:dyDescent="0.3">
      <c r="C145" s="63"/>
      <c r="D145" s="23" t="s">
        <v>112</v>
      </c>
      <c r="E145" s="23" t="s">
        <v>64</v>
      </c>
      <c r="F145" s="86">
        <f>F68</f>
        <v>336000</v>
      </c>
      <c r="G145" s="120">
        <f>G68</f>
        <v>336000</v>
      </c>
    </row>
    <row r="146" spans="3:7" x14ac:dyDescent="0.3">
      <c r="C146" s="63"/>
      <c r="D146" s="23" t="s">
        <v>110</v>
      </c>
      <c r="E146" s="23" t="s">
        <v>105</v>
      </c>
      <c r="F146" s="122">
        <f>F92</f>
        <v>763058.31782436417</v>
      </c>
      <c r="G146" s="123">
        <f>G92</f>
        <v>763058.31782436417</v>
      </c>
    </row>
    <row r="147" spans="3:7" x14ac:dyDescent="0.3">
      <c r="C147" s="63"/>
      <c r="D147" s="23" t="s">
        <v>111</v>
      </c>
      <c r="E147" s="23" t="s">
        <v>87</v>
      </c>
      <c r="F147" s="122">
        <f>F132</f>
        <v>49293.679559506905</v>
      </c>
      <c r="G147" s="123">
        <f>G132</f>
        <v>49293.679559506905</v>
      </c>
    </row>
    <row r="148" spans="3:7" ht="28.8" x14ac:dyDescent="0.3">
      <c r="C148" s="63"/>
      <c r="D148" s="210" t="s">
        <v>110</v>
      </c>
      <c r="E148" s="142" t="s">
        <v>106</v>
      </c>
      <c r="F148" s="122">
        <f>F143</f>
        <v>97364.519697359065</v>
      </c>
      <c r="G148" s="123">
        <f>G143</f>
        <v>241706.07702757185</v>
      </c>
    </row>
    <row r="149" spans="3:7" ht="16.2" x14ac:dyDescent="0.45">
      <c r="C149" s="63"/>
      <c r="D149" s="210" t="s">
        <v>139</v>
      </c>
      <c r="E149" s="23" t="s">
        <v>138</v>
      </c>
      <c r="F149" s="88">
        <f>C41</f>
        <v>200000</v>
      </c>
      <c r="G149" s="143">
        <f>F149</f>
        <v>200000</v>
      </c>
    </row>
    <row r="150" spans="3:7" ht="15" thickBot="1" x14ac:dyDescent="0.35">
      <c r="C150" s="68"/>
      <c r="D150" s="44"/>
      <c r="E150" s="44"/>
      <c r="F150" s="144">
        <f>SUM(F145:F149)</f>
        <v>1445716.5170812302</v>
      </c>
      <c r="G150" s="145">
        <f>SUM(G145:G149)</f>
        <v>1590058.074411443</v>
      </c>
    </row>
    <row r="153" spans="3:7" x14ac:dyDescent="0.3">
      <c r="E153" s="233" t="s">
        <v>141</v>
      </c>
      <c r="F153" s="233" t="s">
        <v>142</v>
      </c>
    </row>
    <row r="154" spans="3:7" x14ac:dyDescent="0.3">
      <c r="E154">
        <f>65-35</f>
        <v>30</v>
      </c>
      <c r="F154">
        <f>65-33</f>
        <v>32</v>
      </c>
    </row>
    <row r="155" spans="3:7" x14ac:dyDescent="0.3">
      <c r="E155">
        <v>12</v>
      </c>
      <c r="F155">
        <v>12</v>
      </c>
    </row>
    <row r="156" spans="3:7" x14ac:dyDescent="0.3">
      <c r="E156">
        <f>E154*E155</f>
        <v>360</v>
      </c>
    </row>
  </sheetData>
  <mergeCells count="6">
    <mergeCell ref="E113:F113"/>
    <mergeCell ref="B2:C2"/>
    <mergeCell ref="E2:I2"/>
    <mergeCell ref="F28:G28"/>
    <mergeCell ref="I28:J28"/>
    <mergeCell ref="E94:F9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63D2-85DF-4164-8E75-E8AA14CEED92}">
  <dimension ref="A1:K140"/>
  <sheetViews>
    <sheetView topLeftCell="A14" zoomScale="60" zoomScaleNormal="60" workbookViewId="0">
      <selection activeCell="G101" sqref="G101"/>
    </sheetView>
  </sheetViews>
  <sheetFormatPr defaultRowHeight="14.4" x14ac:dyDescent="0.3"/>
  <cols>
    <col min="1" max="1" width="4" customWidth="1"/>
    <col min="2" max="2" width="17.33203125" bestFit="1" customWidth="1"/>
    <col min="3" max="3" width="21" style="1" bestFit="1" customWidth="1"/>
    <col min="4" max="4" width="4.5546875" bestFit="1" customWidth="1"/>
    <col min="5" max="5" width="25" bestFit="1" customWidth="1"/>
    <col min="6" max="7" width="14.6640625" bestFit="1" customWidth="1"/>
    <col min="8" max="8" width="11.5546875" bestFit="1" customWidth="1"/>
    <col min="9" max="10" width="12.109375" bestFit="1" customWidth="1"/>
    <col min="11" max="11" width="12.6640625" bestFit="1" customWidth="1"/>
  </cols>
  <sheetData>
    <row r="1" spans="2:9" ht="15" thickBot="1" x14ac:dyDescent="0.35"/>
    <row r="2" spans="2:9" ht="15" thickBot="1" x14ac:dyDescent="0.35">
      <c r="B2" s="189" t="s">
        <v>102</v>
      </c>
      <c r="C2" s="190"/>
      <c r="E2" s="191" t="s">
        <v>17</v>
      </c>
      <c r="F2" s="192"/>
      <c r="G2" s="192"/>
      <c r="H2" s="192"/>
      <c r="I2" s="193"/>
    </row>
    <row r="3" spans="2:9" x14ac:dyDescent="0.3">
      <c r="B3" s="7" t="s">
        <v>0</v>
      </c>
      <c r="C3" s="104">
        <v>33</v>
      </c>
      <c r="E3" s="4" t="s">
        <v>28</v>
      </c>
      <c r="F3" s="5" t="str">
        <f>B3</f>
        <v>Pat</v>
      </c>
      <c r="G3" s="5" t="str">
        <f>B4</f>
        <v>Leslie</v>
      </c>
      <c r="H3" s="5" t="s">
        <v>19</v>
      </c>
      <c r="I3" s="6" t="s">
        <v>20</v>
      </c>
    </row>
    <row r="4" spans="2:9" x14ac:dyDescent="0.3">
      <c r="B4" s="7" t="s">
        <v>1</v>
      </c>
      <c r="C4" s="104">
        <v>35</v>
      </c>
      <c r="E4" s="7" t="s">
        <v>24</v>
      </c>
      <c r="F4" s="27">
        <v>0</v>
      </c>
      <c r="G4" s="27">
        <v>0</v>
      </c>
      <c r="H4" s="27">
        <v>2000</v>
      </c>
      <c r="I4" s="27">
        <f>SUM(F4:H4)</f>
        <v>2000</v>
      </c>
    </row>
    <row r="5" spans="2:9" ht="16.2" x14ac:dyDescent="0.45">
      <c r="B5" s="7"/>
      <c r="C5" s="105"/>
      <c r="E5" s="7" t="s">
        <v>25</v>
      </c>
      <c r="F5" s="146">
        <v>0</v>
      </c>
      <c r="G5" s="146">
        <v>0</v>
      </c>
      <c r="H5" s="146">
        <v>0</v>
      </c>
      <c r="I5" s="146">
        <f>SUM(F5:H5)</f>
        <v>0</v>
      </c>
    </row>
    <row r="6" spans="2:9" x14ac:dyDescent="0.3">
      <c r="B6" s="7" t="s">
        <v>2</v>
      </c>
      <c r="C6" s="104">
        <v>8</v>
      </c>
      <c r="E6" s="12" t="s">
        <v>23</v>
      </c>
      <c r="F6" s="13">
        <f>SUM(F4:F5)</f>
        <v>0</v>
      </c>
      <c r="G6" s="13">
        <f t="shared" ref="G6:I6" si="0">SUM(G4:G5)</f>
        <v>0</v>
      </c>
      <c r="H6" s="13">
        <f t="shared" si="0"/>
        <v>2000</v>
      </c>
      <c r="I6" s="14">
        <f t="shared" si="0"/>
        <v>2000</v>
      </c>
    </row>
    <row r="7" spans="2:9" x14ac:dyDescent="0.3">
      <c r="B7" s="7" t="s">
        <v>3</v>
      </c>
      <c r="C7" s="104">
        <v>10</v>
      </c>
      <c r="E7" s="7"/>
      <c r="F7" s="8"/>
      <c r="G7" s="8"/>
      <c r="H7" s="8"/>
      <c r="I7" s="9"/>
    </row>
    <row r="8" spans="2:9" x14ac:dyDescent="0.3">
      <c r="B8" s="7"/>
      <c r="C8" s="105"/>
      <c r="E8" s="7" t="s">
        <v>27</v>
      </c>
      <c r="F8" s="27">
        <v>6700</v>
      </c>
      <c r="G8" s="27">
        <v>0</v>
      </c>
      <c r="H8" s="27">
        <v>0</v>
      </c>
      <c r="I8" s="27">
        <f>SUM(F8:H8)</f>
        <v>6700</v>
      </c>
    </row>
    <row r="9" spans="2:9" ht="16.2" x14ac:dyDescent="0.45">
      <c r="B9" s="12" t="s">
        <v>4</v>
      </c>
      <c r="C9" s="105"/>
      <c r="E9" s="7" t="s">
        <v>99</v>
      </c>
      <c r="F9" s="146">
        <v>0</v>
      </c>
      <c r="G9" s="146">
        <v>0</v>
      </c>
      <c r="H9" s="147">
        <f>C37</f>
        <v>17000</v>
      </c>
      <c r="I9" s="146">
        <f>SUM(F9:H9)</f>
        <v>17000</v>
      </c>
    </row>
    <row r="10" spans="2:9" x14ac:dyDescent="0.3">
      <c r="B10" s="7" t="s">
        <v>5</v>
      </c>
      <c r="C10" s="104" t="s">
        <v>6</v>
      </c>
      <c r="E10" s="12" t="s">
        <v>26</v>
      </c>
      <c r="F10" s="13">
        <f>SUM(F8:F9)</f>
        <v>6700</v>
      </c>
      <c r="G10" s="13">
        <f t="shared" ref="G10:I10" si="1">SUM(G8:G9)</f>
        <v>0</v>
      </c>
      <c r="H10" s="13">
        <f t="shared" si="1"/>
        <v>17000</v>
      </c>
      <c r="I10" s="14">
        <f t="shared" si="1"/>
        <v>23700</v>
      </c>
    </row>
    <row r="11" spans="2:9" x14ac:dyDescent="0.3">
      <c r="B11" s="7" t="s">
        <v>7</v>
      </c>
      <c r="C11" s="106">
        <v>0.8</v>
      </c>
      <c r="E11" s="7"/>
      <c r="F11" s="8"/>
      <c r="G11" s="8"/>
      <c r="H11" s="8"/>
      <c r="I11" s="9"/>
    </row>
    <row r="12" spans="2:9" x14ac:dyDescent="0.3">
      <c r="B12" s="7" t="s">
        <v>8</v>
      </c>
      <c r="C12" s="104" t="s">
        <v>9</v>
      </c>
      <c r="E12" s="7" t="s">
        <v>18</v>
      </c>
      <c r="F12" s="27">
        <v>0</v>
      </c>
      <c r="G12" s="27">
        <v>0</v>
      </c>
      <c r="H12" s="27">
        <v>650000</v>
      </c>
      <c r="I12" s="27">
        <f>SUM(F12:H12)</f>
        <v>650000</v>
      </c>
    </row>
    <row r="13" spans="2:9" ht="16.2" x14ac:dyDescent="0.45">
      <c r="B13" s="12" t="s">
        <v>10</v>
      </c>
      <c r="C13" s="105"/>
      <c r="E13" s="7" t="s">
        <v>21</v>
      </c>
      <c r="F13" s="146">
        <v>0</v>
      </c>
      <c r="G13" s="146">
        <v>0</v>
      </c>
      <c r="H13" s="146">
        <v>0</v>
      </c>
      <c r="I13" s="146">
        <f>SUM(F13:H13)</f>
        <v>0</v>
      </c>
    </row>
    <row r="14" spans="2:9" x14ac:dyDescent="0.3">
      <c r="B14" s="7" t="s">
        <v>11</v>
      </c>
      <c r="C14" s="104" t="s">
        <v>12</v>
      </c>
      <c r="E14" s="12" t="s">
        <v>22</v>
      </c>
      <c r="F14" s="13">
        <f>SUM(F12:F13)</f>
        <v>0</v>
      </c>
      <c r="G14" s="13">
        <f t="shared" ref="G14:I14" si="2">SUM(G12:G13)</f>
        <v>0</v>
      </c>
      <c r="H14" s="13">
        <f t="shared" si="2"/>
        <v>650000</v>
      </c>
      <c r="I14" s="14">
        <f t="shared" si="2"/>
        <v>650000</v>
      </c>
    </row>
    <row r="15" spans="2:9" x14ac:dyDescent="0.3">
      <c r="B15" s="7" t="s">
        <v>13</v>
      </c>
      <c r="C15" s="104" t="s">
        <v>14</v>
      </c>
      <c r="E15" s="7"/>
      <c r="F15" s="8"/>
      <c r="G15" s="8"/>
      <c r="H15" s="8"/>
      <c r="I15" s="9"/>
    </row>
    <row r="16" spans="2:9" ht="15" thickBot="1" x14ac:dyDescent="0.35">
      <c r="B16" s="7" t="s">
        <v>15</v>
      </c>
      <c r="C16" s="106">
        <f>2/3</f>
        <v>0.66666666666666663</v>
      </c>
      <c r="E16" s="15" t="s">
        <v>29</v>
      </c>
      <c r="F16" s="16">
        <f>F6+F10+F14</f>
        <v>6700</v>
      </c>
      <c r="G16" s="16">
        <f t="shared" ref="G16:I16" si="3">G6+G10+G14</f>
        <v>0</v>
      </c>
      <c r="H16" s="16">
        <f t="shared" si="3"/>
        <v>669000</v>
      </c>
      <c r="I16" s="17">
        <f t="shared" si="3"/>
        <v>675700</v>
      </c>
    </row>
    <row r="17" spans="2:11" x14ac:dyDescent="0.3">
      <c r="B17" s="7" t="s">
        <v>13</v>
      </c>
      <c r="C17" s="104" t="s">
        <v>16</v>
      </c>
      <c r="E17" s="20" t="s">
        <v>30</v>
      </c>
      <c r="F17" s="21"/>
      <c r="G17" s="21"/>
      <c r="H17" s="21"/>
      <c r="I17" s="22"/>
    </row>
    <row r="18" spans="2:11" x14ac:dyDescent="0.3">
      <c r="B18" s="7"/>
      <c r="C18" s="105"/>
      <c r="E18" s="19" t="s">
        <v>31</v>
      </c>
      <c r="F18" s="8">
        <v>0</v>
      </c>
      <c r="G18" s="8">
        <v>0</v>
      </c>
      <c r="H18" s="8">
        <v>16000</v>
      </c>
      <c r="I18" s="9">
        <f>SUM(F18:H18)</f>
        <v>16000</v>
      </c>
    </row>
    <row r="19" spans="2:11" ht="16.2" x14ac:dyDescent="0.45">
      <c r="B19" s="7" t="s">
        <v>62</v>
      </c>
      <c r="C19" s="107">
        <v>25000</v>
      </c>
      <c r="E19" s="19" t="s">
        <v>32</v>
      </c>
      <c r="F19" s="10">
        <v>0</v>
      </c>
      <c r="G19" s="10">
        <v>0</v>
      </c>
      <c r="H19" s="10">
        <v>0</v>
      </c>
      <c r="I19" s="11">
        <f>SUM(F19:H19)</f>
        <v>0</v>
      </c>
    </row>
    <row r="20" spans="2:11" x14ac:dyDescent="0.3">
      <c r="B20" s="7" t="s">
        <v>63</v>
      </c>
      <c r="C20" s="108">
        <v>20000</v>
      </c>
      <c r="E20" s="18" t="s">
        <v>33</v>
      </c>
      <c r="F20" s="13">
        <f>SUM(F18:F19)</f>
        <v>0</v>
      </c>
      <c r="G20" s="13">
        <f t="shared" ref="G20:I20" si="4">SUM(G18:G19)</f>
        <v>0</v>
      </c>
      <c r="H20" s="13">
        <f t="shared" si="4"/>
        <v>16000</v>
      </c>
      <c r="I20" s="14">
        <f t="shared" si="4"/>
        <v>16000</v>
      </c>
    </row>
    <row r="21" spans="2:11" x14ac:dyDescent="0.3">
      <c r="B21" s="7"/>
      <c r="C21" s="105"/>
      <c r="E21" s="7"/>
      <c r="F21" s="8"/>
      <c r="G21" s="8"/>
      <c r="H21" s="8"/>
      <c r="I21" s="9"/>
    </row>
    <row r="22" spans="2:11" x14ac:dyDescent="0.3">
      <c r="B22" s="7" t="s">
        <v>70</v>
      </c>
      <c r="C22" s="109">
        <v>0.08</v>
      </c>
      <c r="E22" s="19" t="s">
        <v>34</v>
      </c>
      <c r="F22" s="8">
        <v>0</v>
      </c>
      <c r="G22" s="8">
        <v>0</v>
      </c>
      <c r="H22" s="8">
        <v>275000</v>
      </c>
      <c r="I22" s="9">
        <f>SUM(F22:H22)</f>
        <v>275000</v>
      </c>
    </row>
    <row r="23" spans="2:11" ht="16.2" x14ac:dyDescent="0.45">
      <c r="B23" s="7" t="s">
        <v>71</v>
      </c>
      <c r="C23" s="109">
        <v>0.01</v>
      </c>
      <c r="E23" s="19" t="s">
        <v>35</v>
      </c>
      <c r="F23" s="10">
        <v>0</v>
      </c>
      <c r="G23" s="10">
        <v>0</v>
      </c>
      <c r="H23" s="10">
        <v>0</v>
      </c>
      <c r="I23" s="11">
        <f>SUM(F23:H23)</f>
        <v>0</v>
      </c>
    </row>
    <row r="24" spans="2:11" x14ac:dyDescent="0.3">
      <c r="B24" s="7" t="s">
        <v>72</v>
      </c>
      <c r="C24" s="175">
        <f>C22-C23</f>
        <v>7.0000000000000007E-2</v>
      </c>
      <c r="E24" s="18" t="s">
        <v>36</v>
      </c>
      <c r="F24" s="13">
        <f>SUM(F22:F23)</f>
        <v>0</v>
      </c>
      <c r="G24" s="13">
        <f t="shared" ref="G24:I24" si="5">SUM(G22:G23)</f>
        <v>0</v>
      </c>
      <c r="H24" s="13">
        <f t="shared" si="5"/>
        <v>275000</v>
      </c>
      <c r="I24" s="14">
        <f t="shared" si="5"/>
        <v>275000</v>
      </c>
    </row>
    <row r="25" spans="2:11" x14ac:dyDescent="0.3">
      <c r="B25" s="7" t="s">
        <v>116</v>
      </c>
      <c r="C25" s="177">
        <f>(1+C24)/(1+C26)-1</f>
        <v>4.9019607843137303E-2</v>
      </c>
      <c r="E25" s="7"/>
      <c r="F25" s="23"/>
      <c r="G25" s="23"/>
      <c r="H25" s="23"/>
      <c r="I25" s="24"/>
    </row>
    <row r="26" spans="2:11" ht="15" thickBot="1" x14ac:dyDescent="0.35">
      <c r="B26" s="7" t="s">
        <v>65</v>
      </c>
      <c r="C26" s="106">
        <v>0.02</v>
      </c>
      <c r="E26" s="15" t="s">
        <v>37</v>
      </c>
      <c r="F26" s="25">
        <f>F20+F24</f>
        <v>0</v>
      </c>
      <c r="G26" s="25">
        <f t="shared" ref="G26:I26" si="6">G20+G24</f>
        <v>0</v>
      </c>
      <c r="H26" s="25">
        <f t="shared" si="6"/>
        <v>291000</v>
      </c>
      <c r="I26" s="26">
        <f t="shared" si="6"/>
        <v>291000</v>
      </c>
    </row>
    <row r="27" spans="2:11" ht="15" thickBot="1" x14ac:dyDescent="0.35">
      <c r="B27" s="7"/>
      <c r="C27" s="105"/>
      <c r="E27" s="20" t="s">
        <v>17</v>
      </c>
      <c r="F27" s="82">
        <f>F16-F26</f>
        <v>6700</v>
      </c>
      <c r="G27" s="82">
        <f t="shared" ref="G27:I27" si="7">G16-G26</f>
        <v>0</v>
      </c>
      <c r="H27" s="82">
        <f t="shared" si="7"/>
        <v>378000</v>
      </c>
      <c r="I27" s="83">
        <f t="shared" si="7"/>
        <v>384700</v>
      </c>
    </row>
    <row r="28" spans="2:11" x14ac:dyDescent="0.3">
      <c r="B28" s="7" t="s">
        <v>69</v>
      </c>
      <c r="C28" s="104">
        <v>65</v>
      </c>
      <c r="E28" s="28"/>
      <c r="F28" s="188" t="s">
        <v>39</v>
      </c>
      <c r="G28" s="188"/>
      <c r="H28" s="94" t="s">
        <v>20</v>
      </c>
      <c r="I28" s="188" t="s">
        <v>40</v>
      </c>
      <c r="J28" s="188"/>
      <c r="K28" s="94" t="s">
        <v>20</v>
      </c>
    </row>
    <row r="29" spans="2:11" x14ac:dyDescent="0.3">
      <c r="B29" s="7"/>
      <c r="C29" s="105"/>
      <c r="E29" s="18" t="s">
        <v>38</v>
      </c>
      <c r="F29" s="84" t="str">
        <f>F3</f>
        <v>Pat</v>
      </c>
      <c r="G29" s="84" t="str">
        <f>G3</f>
        <v>Leslie</v>
      </c>
      <c r="H29" s="95" t="s">
        <v>39</v>
      </c>
      <c r="I29" s="84" t="str">
        <f>F29</f>
        <v>Pat</v>
      </c>
      <c r="J29" s="84" t="str">
        <f>G29</f>
        <v>Leslie</v>
      </c>
      <c r="K29" s="95" t="s">
        <v>40</v>
      </c>
    </row>
    <row r="30" spans="2:11" x14ac:dyDescent="0.3">
      <c r="B30" s="7" t="s">
        <v>88</v>
      </c>
      <c r="C30" s="108">
        <v>12000</v>
      </c>
      <c r="E30" s="19" t="s">
        <v>41</v>
      </c>
      <c r="F30" s="85">
        <v>7083.33</v>
      </c>
      <c r="G30" s="93">
        <v>3333</v>
      </c>
      <c r="H30" s="96">
        <f>SUM(F30:G30)</f>
        <v>10416.33</v>
      </c>
      <c r="I30" s="37">
        <f>F30*12</f>
        <v>84999.959999999992</v>
      </c>
      <c r="J30" s="37">
        <f>G30*12</f>
        <v>39996</v>
      </c>
      <c r="K30" s="101">
        <f>I30+J30</f>
        <v>124995.95999999999</v>
      </c>
    </row>
    <row r="31" spans="2:11" x14ac:dyDescent="0.3">
      <c r="B31" s="7" t="s">
        <v>89</v>
      </c>
      <c r="C31" s="172">
        <v>0.04</v>
      </c>
      <c r="E31" s="18" t="s">
        <v>42</v>
      </c>
      <c r="F31" s="85">
        <v>-2267.5</v>
      </c>
      <c r="G31" s="93">
        <v>-846.58</v>
      </c>
      <c r="H31" s="96">
        <f t="shared" ref="H31:H33" si="8">SUM(F31:G31)</f>
        <v>-3114.08</v>
      </c>
      <c r="I31" s="37">
        <f t="shared" ref="I31:J33" si="9">F31*12</f>
        <v>-27210</v>
      </c>
      <c r="J31" s="37">
        <f t="shared" si="9"/>
        <v>-10158.960000000001</v>
      </c>
      <c r="K31" s="101">
        <f t="shared" ref="K31:K33" si="10">I31+J31</f>
        <v>-37368.959999999999</v>
      </c>
    </row>
    <row r="32" spans="2:11" x14ac:dyDescent="0.3">
      <c r="B32" s="7" t="s">
        <v>89</v>
      </c>
      <c r="C32" s="174">
        <f>(1+C24)/(1+C31)-1</f>
        <v>2.8846153846153966E-2</v>
      </c>
      <c r="E32" s="7"/>
      <c r="F32" s="37"/>
      <c r="G32" s="37"/>
      <c r="H32" s="96"/>
      <c r="I32" s="37"/>
      <c r="J32" s="37"/>
      <c r="K32" s="101"/>
    </row>
    <row r="33" spans="1:11" x14ac:dyDescent="0.3">
      <c r="B33" s="7" t="s">
        <v>95</v>
      </c>
      <c r="C33" s="104">
        <v>3</v>
      </c>
      <c r="E33" s="18" t="s">
        <v>43</v>
      </c>
      <c r="F33" s="37">
        <v>0</v>
      </c>
      <c r="G33" s="37">
        <v>0</v>
      </c>
      <c r="H33" s="96">
        <f t="shared" si="8"/>
        <v>0</v>
      </c>
      <c r="I33" s="37">
        <f t="shared" si="9"/>
        <v>0</v>
      </c>
      <c r="J33" s="37">
        <f t="shared" si="9"/>
        <v>0</v>
      </c>
      <c r="K33" s="101">
        <f t="shared" si="10"/>
        <v>0</v>
      </c>
    </row>
    <row r="34" spans="1:11" x14ac:dyDescent="0.3">
      <c r="E34" s="7"/>
      <c r="F34" s="37"/>
      <c r="G34" s="37"/>
      <c r="H34" s="96"/>
      <c r="I34" s="37"/>
      <c r="J34" s="37"/>
      <c r="K34" s="101"/>
    </row>
    <row r="35" spans="1:11" ht="16.2" x14ac:dyDescent="0.45">
      <c r="B35" s="7" t="s">
        <v>100</v>
      </c>
      <c r="C35" s="108">
        <v>5000</v>
      </c>
      <c r="E35" s="18" t="s">
        <v>44</v>
      </c>
      <c r="F35" s="87">
        <f>F30+F31+F33</f>
        <v>4815.83</v>
      </c>
      <c r="G35" s="87">
        <f t="shared" ref="G35:K35" si="11">G30+G31+G33</f>
        <v>2486.42</v>
      </c>
      <c r="H35" s="97">
        <f t="shared" si="11"/>
        <v>7302.25</v>
      </c>
      <c r="I35" s="87">
        <f t="shared" si="11"/>
        <v>57789.959999999992</v>
      </c>
      <c r="J35" s="87">
        <f t="shared" si="11"/>
        <v>29837.040000000001</v>
      </c>
      <c r="K35" s="97">
        <f t="shared" si="11"/>
        <v>87627</v>
      </c>
    </row>
    <row r="36" spans="1:11" x14ac:dyDescent="0.3">
      <c r="B36" s="7" t="s">
        <v>101</v>
      </c>
      <c r="C36" s="108">
        <v>12000</v>
      </c>
      <c r="E36" s="7"/>
      <c r="F36" s="37"/>
      <c r="G36" s="37"/>
      <c r="H36" s="96"/>
      <c r="I36" s="37"/>
      <c r="J36" s="37"/>
      <c r="K36" s="101"/>
    </row>
    <row r="37" spans="1:11" x14ac:dyDescent="0.3">
      <c r="B37" s="7" t="s">
        <v>20</v>
      </c>
      <c r="C37" s="111">
        <f>SUM(C35:C36)</f>
        <v>17000</v>
      </c>
      <c r="E37" s="7" t="s">
        <v>34</v>
      </c>
      <c r="F37" s="37"/>
      <c r="G37" s="150">
        <f>H37/$H$30</f>
        <v>0.16320527479448135</v>
      </c>
      <c r="H37" s="98">
        <v>1700</v>
      </c>
      <c r="I37" s="150">
        <f>H37/$H$35</f>
        <v>0.23280495737615117</v>
      </c>
      <c r="J37" s="37"/>
      <c r="K37" s="101">
        <f>H37*12</f>
        <v>20400</v>
      </c>
    </row>
    <row r="38" spans="1:11" x14ac:dyDescent="0.3">
      <c r="B38" s="7"/>
      <c r="C38" s="105"/>
      <c r="E38" s="7" t="s">
        <v>31</v>
      </c>
      <c r="F38" s="37"/>
      <c r="G38" s="150">
        <f t="shared" ref="G38:G40" si="12">H38/$H$30</f>
        <v>3.8401241128113259E-2</v>
      </c>
      <c r="H38" s="98">
        <v>400</v>
      </c>
      <c r="I38" s="150">
        <f t="shared" ref="I38:I40" si="13">H38/$H$35</f>
        <v>5.4777637029682635E-2</v>
      </c>
      <c r="J38" s="37"/>
      <c r="K38" s="101">
        <f t="shared" ref="K38:K39" si="14">H38*12</f>
        <v>4800</v>
      </c>
    </row>
    <row r="39" spans="1:11" ht="16.2" x14ac:dyDescent="0.45">
      <c r="B39" s="7"/>
      <c r="C39" s="105"/>
      <c r="E39" s="7" t="s">
        <v>45</v>
      </c>
      <c r="F39" s="37"/>
      <c r="G39" s="152">
        <f t="shared" si="12"/>
        <v>0</v>
      </c>
      <c r="H39" s="98">
        <v>0</v>
      </c>
      <c r="I39" s="152">
        <f t="shared" si="13"/>
        <v>0</v>
      </c>
      <c r="J39" s="37"/>
      <c r="K39" s="102">
        <f t="shared" si="14"/>
        <v>0</v>
      </c>
    </row>
    <row r="40" spans="1:11" x14ac:dyDescent="0.3">
      <c r="B40" s="7" t="s">
        <v>90</v>
      </c>
      <c r="C40" s="108">
        <v>100000</v>
      </c>
      <c r="E40" s="12" t="s">
        <v>46</v>
      </c>
      <c r="F40" s="37"/>
      <c r="G40" s="150">
        <f t="shared" si="12"/>
        <v>0.20160651592259463</v>
      </c>
      <c r="H40" s="99">
        <f>SUM(H37:H39)</f>
        <v>2100</v>
      </c>
      <c r="I40" s="151">
        <f t="shared" si="13"/>
        <v>0.28758259440583384</v>
      </c>
      <c r="J40" s="60"/>
      <c r="K40" s="99">
        <f>SUM(K37:K39)</f>
        <v>25200</v>
      </c>
    </row>
    <row r="41" spans="1:11" x14ac:dyDescent="0.3">
      <c r="B41" s="7" t="s">
        <v>90</v>
      </c>
      <c r="C41" s="108">
        <f>C40</f>
        <v>100000</v>
      </c>
      <c r="E41" s="7"/>
      <c r="F41" s="37"/>
      <c r="G41" s="37"/>
      <c r="H41" s="96"/>
      <c r="I41" s="37"/>
      <c r="J41" s="37"/>
      <c r="K41" s="101"/>
    </row>
    <row r="42" spans="1:11" ht="15" thickBot="1" x14ac:dyDescent="0.35">
      <c r="B42" s="43"/>
      <c r="C42" s="112">
        <f>SUM(C40:C41)</f>
        <v>200000</v>
      </c>
      <c r="E42" s="7" t="s">
        <v>47</v>
      </c>
      <c r="F42" s="37"/>
      <c r="G42" s="150">
        <f>H42/$H$30</f>
        <v>3.1969033239154288E-2</v>
      </c>
      <c r="H42" s="98">
        <v>333</v>
      </c>
      <c r="I42" s="150">
        <f>H42/$H$35</f>
        <v>4.560238282721079E-2</v>
      </c>
      <c r="J42" s="23"/>
      <c r="K42" s="101">
        <f>H42*12</f>
        <v>3996</v>
      </c>
    </row>
    <row r="43" spans="1:11" x14ac:dyDescent="0.3">
      <c r="E43" s="7" t="s">
        <v>48</v>
      </c>
      <c r="F43" s="37"/>
      <c r="G43" s="150">
        <f t="shared" ref="G43:G60" si="15">H43/$H$30</f>
        <v>2.8800930846084944E-2</v>
      </c>
      <c r="H43" s="98">
        <v>300</v>
      </c>
      <c r="I43" s="150">
        <f t="shared" ref="I43:I45" si="16">H43/$H$35</f>
        <v>4.1083227772261977E-2</v>
      </c>
      <c r="J43" s="23"/>
      <c r="K43" s="101">
        <f t="shared" ref="K43:K44" si="17">H43*12</f>
        <v>3600</v>
      </c>
    </row>
    <row r="44" spans="1:11" ht="16.2" x14ac:dyDescent="0.45">
      <c r="B44" t="s">
        <v>115</v>
      </c>
      <c r="C44" s="1">
        <v>20</v>
      </c>
      <c r="D44">
        <v>12</v>
      </c>
      <c r="E44" s="7" t="s">
        <v>49</v>
      </c>
      <c r="F44" s="37"/>
      <c r="G44" s="152">
        <f t="shared" si="15"/>
        <v>0.12000387852535394</v>
      </c>
      <c r="H44" s="98">
        <v>1250</v>
      </c>
      <c r="I44" s="152">
        <f t="shared" si="16"/>
        <v>0.17118011571775824</v>
      </c>
      <c r="J44" s="23"/>
      <c r="K44" s="102">
        <f t="shared" si="17"/>
        <v>15000</v>
      </c>
    </row>
    <row r="45" spans="1:11" x14ac:dyDescent="0.3">
      <c r="B45" t="s">
        <v>113</v>
      </c>
      <c r="E45" s="12" t="s">
        <v>50</v>
      </c>
      <c r="F45" s="41"/>
      <c r="G45" s="150">
        <f t="shared" si="15"/>
        <v>0.18077384261059318</v>
      </c>
      <c r="H45" s="99">
        <f>SUM(H42:H44)</f>
        <v>1883</v>
      </c>
      <c r="I45" s="151">
        <f t="shared" si="16"/>
        <v>0.25786572631723098</v>
      </c>
      <c r="J45" s="60"/>
      <c r="K45" s="99">
        <f>SUM(K42:K44)</f>
        <v>22596</v>
      </c>
    </row>
    <row r="46" spans="1:11" x14ac:dyDescent="0.3">
      <c r="A46">
        <v>1</v>
      </c>
      <c r="B46" t="s">
        <v>73</v>
      </c>
      <c r="C46" s="1">
        <f>C44*D44</f>
        <v>240</v>
      </c>
      <c r="E46" s="7"/>
      <c r="F46" s="37"/>
      <c r="G46" s="37"/>
      <c r="H46" s="96"/>
      <c r="I46" s="37"/>
      <c r="J46" s="23"/>
      <c r="K46" s="103"/>
    </row>
    <row r="47" spans="1:11" x14ac:dyDescent="0.3">
      <c r="B47" t="s">
        <v>74</v>
      </c>
      <c r="C47" s="157">
        <v>0.04</v>
      </c>
      <c r="E47" s="7" t="s">
        <v>51</v>
      </c>
      <c r="F47" s="37"/>
      <c r="G47" s="150">
        <f t="shared" si="15"/>
        <v>4.8001551410141577E-2</v>
      </c>
      <c r="H47" s="98">
        <v>500</v>
      </c>
      <c r="I47" s="150">
        <f>H47/$H$35</f>
        <v>6.8472046287103294E-2</v>
      </c>
      <c r="J47" s="23"/>
      <c r="K47" s="101">
        <f t="shared" ref="K47:K48" si="18">H47*12</f>
        <v>6000</v>
      </c>
    </row>
    <row r="48" spans="1:11" ht="16.2" x14ac:dyDescent="0.45">
      <c r="B48" t="s">
        <v>93</v>
      </c>
      <c r="C48" s="155">
        <v>-380815.44153992401</v>
      </c>
      <c r="E48" s="7" t="s">
        <v>52</v>
      </c>
      <c r="F48" s="37"/>
      <c r="G48" s="152">
        <f t="shared" si="15"/>
        <v>1.9200620564056629E-2</v>
      </c>
      <c r="H48" s="98">
        <v>200</v>
      </c>
      <c r="I48" s="152">
        <f t="shared" ref="I48:I52" si="19">H48/$H$35</f>
        <v>2.7388818514841318E-2</v>
      </c>
      <c r="J48" s="23"/>
      <c r="K48" s="102">
        <f t="shared" si="18"/>
        <v>2400</v>
      </c>
    </row>
    <row r="49" spans="2:11" x14ac:dyDescent="0.3">
      <c r="B49" t="s">
        <v>76</v>
      </c>
      <c r="C49" s="1">
        <v>0</v>
      </c>
      <c r="E49" s="12" t="s">
        <v>53</v>
      </c>
      <c r="F49" s="60"/>
      <c r="G49" s="150">
        <f t="shared" si="15"/>
        <v>6.7202171974198213E-2</v>
      </c>
      <c r="H49" s="99">
        <f>SUM(H47:H48)</f>
        <v>700</v>
      </c>
      <c r="I49" s="151">
        <f t="shared" si="19"/>
        <v>9.5860864801944612E-2</v>
      </c>
      <c r="J49" s="23"/>
      <c r="K49" s="99">
        <f>SUM(K46:K48)</f>
        <v>8400</v>
      </c>
    </row>
    <row r="50" spans="2:11" x14ac:dyDescent="0.3">
      <c r="B50" t="s">
        <v>114</v>
      </c>
      <c r="C50" s="156">
        <f>PMT(C47/D44,C46,C48,C49,A46)</f>
        <v>2300</v>
      </c>
      <c r="E50" s="7"/>
      <c r="F50" s="37"/>
      <c r="G50" s="37"/>
      <c r="H50" s="96"/>
      <c r="I50" s="37"/>
      <c r="J50" s="23"/>
      <c r="K50" s="103"/>
    </row>
    <row r="51" spans="2:11" ht="16.2" x14ac:dyDescent="0.45">
      <c r="E51" s="7" t="s">
        <v>54</v>
      </c>
      <c r="F51" s="37"/>
      <c r="G51" s="152">
        <f t="shared" si="15"/>
        <v>7.9970584649295864E-2</v>
      </c>
      <c r="H51" s="98">
        <v>833</v>
      </c>
      <c r="I51" s="152">
        <f t="shared" si="19"/>
        <v>0.11407442911431408</v>
      </c>
      <c r="J51" s="23"/>
      <c r="K51" s="102">
        <f t="shared" ref="K51" si="20">H51*12</f>
        <v>9996</v>
      </c>
    </row>
    <row r="52" spans="2:11" x14ac:dyDescent="0.3">
      <c r="E52" s="12" t="s">
        <v>55</v>
      </c>
      <c r="F52" s="60"/>
      <c r="G52" s="150">
        <f t="shared" si="15"/>
        <v>7.9970584649295864E-2</v>
      </c>
      <c r="H52" s="99">
        <f>SUM(H51)</f>
        <v>833</v>
      </c>
      <c r="I52" s="151">
        <f t="shared" si="19"/>
        <v>0.11407442911431408</v>
      </c>
      <c r="J52" s="23"/>
      <c r="K52" s="99">
        <f>SUM(K51)</f>
        <v>9996</v>
      </c>
    </row>
    <row r="53" spans="2:11" x14ac:dyDescent="0.3">
      <c r="E53" s="7"/>
      <c r="F53" s="37"/>
      <c r="G53" s="37"/>
      <c r="H53" s="96"/>
      <c r="I53" s="37"/>
      <c r="J53" s="23"/>
      <c r="K53" s="103"/>
    </row>
    <row r="54" spans="2:11" x14ac:dyDescent="0.3">
      <c r="E54" s="7" t="s">
        <v>56</v>
      </c>
      <c r="F54" s="37"/>
      <c r="G54" s="150">
        <f t="shared" si="15"/>
        <v>3.8401241128113259E-2</v>
      </c>
      <c r="H54" s="98">
        <v>400</v>
      </c>
      <c r="I54" s="150">
        <f>H54/$H$35</f>
        <v>5.4777637029682635E-2</v>
      </c>
      <c r="J54" s="23"/>
      <c r="K54" s="101">
        <f t="shared" ref="K54:K55" si="21">H54*12</f>
        <v>4800</v>
      </c>
    </row>
    <row r="55" spans="2:11" ht="16.2" x14ac:dyDescent="0.45">
      <c r="E55" s="7" t="s">
        <v>57</v>
      </c>
      <c r="F55" s="37"/>
      <c r="G55" s="152">
        <f t="shared" si="15"/>
        <v>4.0033293876058078E-2</v>
      </c>
      <c r="H55" s="98">
        <v>417</v>
      </c>
      <c r="I55" s="152">
        <f t="shared" ref="I55:I56" si="22">H55/$H$35</f>
        <v>5.7105686603444145E-2</v>
      </c>
      <c r="J55" s="23"/>
      <c r="K55" s="102">
        <f t="shared" si="21"/>
        <v>5004</v>
      </c>
    </row>
    <row r="56" spans="2:11" x14ac:dyDescent="0.3">
      <c r="E56" s="12" t="s">
        <v>58</v>
      </c>
      <c r="F56" s="37"/>
      <c r="G56" s="150">
        <f t="shared" si="15"/>
        <v>7.843453500417133E-2</v>
      </c>
      <c r="H56" s="99">
        <f>SUM(H54:H55)</f>
        <v>817</v>
      </c>
      <c r="I56" s="151">
        <f t="shared" si="22"/>
        <v>0.11188332363312678</v>
      </c>
      <c r="J56" s="23"/>
      <c r="K56" s="99">
        <f>SUM(K53:K55)</f>
        <v>9804</v>
      </c>
    </row>
    <row r="57" spans="2:11" x14ac:dyDescent="0.3">
      <c r="E57" s="7"/>
      <c r="F57" s="37"/>
      <c r="G57" s="37"/>
      <c r="H57" s="96"/>
      <c r="I57" s="37"/>
      <c r="J57" s="23"/>
      <c r="K57" s="103"/>
    </row>
    <row r="58" spans="2:11" ht="16.2" x14ac:dyDescent="0.45">
      <c r="E58" s="12" t="s">
        <v>59</v>
      </c>
      <c r="F58" s="37"/>
      <c r="G58" s="154">
        <f t="shared" si="15"/>
        <v>0.60798765016085321</v>
      </c>
      <c r="H58" s="97">
        <f>H40+H45+H49+H52+H56</f>
        <v>6333</v>
      </c>
      <c r="I58" s="153">
        <f>H58/$H$35</f>
        <v>0.86726693827245027</v>
      </c>
      <c r="J58" s="90"/>
      <c r="K58" s="97">
        <f>K40+K45+K49+K52+K56</f>
        <v>75996</v>
      </c>
    </row>
    <row r="59" spans="2:11" x14ac:dyDescent="0.3">
      <c r="E59" s="7"/>
      <c r="F59" s="37"/>
      <c r="G59" s="37"/>
      <c r="H59" s="96"/>
      <c r="I59" s="37"/>
      <c r="J59" s="23"/>
      <c r="K59" s="103"/>
    </row>
    <row r="60" spans="2:11" ht="16.8" thickBot="1" x14ac:dyDescent="0.5">
      <c r="E60" s="15" t="s">
        <v>60</v>
      </c>
      <c r="F60" s="46"/>
      <c r="G60" s="154">
        <f t="shared" si="15"/>
        <v>9.3051007408559441E-2</v>
      </c>
      <c r="H60" s="100">
        <f>H35-H58</f>
        <v>969.25</v>
      </c>
      <c r="I60" s="153">
        <f>H60/$H$35</f>
        <v>0.13273306172754973</v>
      </c>
      <c r="J60" s="92"/>
      <c r="K60" s="100">
        <f>K35-K58</f>
        <v>11631</v>
      </c>
    </row>
    <row r="61" spans="2:11" ht="15" thickBot="1" x14ac:dyDescent="0.35">
      <c r="F61" s="3"/>
      <c r="G61" s="3"/>
      <c r="H61" s="3"/>
      <c r="I61" s="3"/>
    </row>
    <row r="62" spans="2:11" ht="15" thickBot="1" x14ac:dyDescent="0.35">
      <c r="D62" s="28"/>
      <c r="E62" s="50"/>
      <c r="F62" s="32"/>
      <c r="G62" s="62"/>
      <c r="H62" s="3"/>
      <c r="I62" s="3"/>
    </row>
    <row r="63" spans="2:11" x14ac:dyDescent="0.3">
      <c r="B63" s="28"/>
      <c r="C63" s="29"/>
      <c r="D63" s="28"/>
      <c r="E63" s="57" t="s">
        <v>61</v>
      </c>
      <c r="F63" s="58" t="str">
        <f>F3</f>
        <v>Pat</v>
      </c>
      <c r="G63" s="126" t="str">
        <f>G3</f>
        <v>Leslie</v>
      </c>
      <c r="H63" s="75"/>
      <c r="I63" s="75"/>
      <c r="J63" s="76"/>
    </row>
    <row r="64" spans="2:11" x14ac:dyDescent="0.3">
      <c r="B64" s="7"/>
      <c r="C64" s="34"/>
      <c r="D64" s="7"/>
      <c r="E64" s="23" t="s">
        <v>34</v>
      </c>
      <c r="F64" s="37">
        <f>I22</f>
        <v>275000</v>
      </c>
      <c r="G64" s="96">
        <f>F64</f>
        <v>275000</v>
      </c>
      <c r="H64" s="77"/>
      <c r="I64" s="77"/>
      <c r="J64" s="72"/>
    </row>
    <row r="65" spans="2:10" x14ac:dyDescent="0.3">
      <c r="B65" s="7"/>
      <c r="C65" s="34"/>
      <c r="D65" s="7"/>
      <c r="E65" s="23" t="s">
        <v>31</v>
      </c>
      <c r="F65" s="37">
        <f>I18</f>
        <v>16000</v>
      </c>
      <c r="G65" s="96">
        <f>F65</f>
        <v>16000</v>
      </c>
      <c r="H65" s="77"/>
      <c r="I65" s="77"/>
      <c r="J65" s="72"/>
    </row>
    <row r="66" spans="2:10" x14ac:dyDescent="0.3">
      <c r="B66" s="7"/>
      <c r="C66" s="34"/>
      <c r="D66" s="7"/>
      <c r="E66" s="23" t="s">
        <v>62</v>
      </c>
      <c r="F66" s="37">
        <f>C19</f>
        <v>25000</v>
      </c>
      <c r="G66" s="96">
        <f>F66</f>
        <v>25000</v>
      </c>
      <c r="H66" s="77"/>
      <c r="I66" s="77"/>
      <c r="J66" s="72"/>
    </row>
    <row r="67" spans="2:10" ht="16.2" x14ac:dyDescent="0.45">
      <c r="B67" s="7"/>
      <c r="C67" s="34"/>
      <c r="D67" s="7"/>
      <c r="E67" s="23" t="s">
        <v>63</v>
      </c>
      <c r="F67" s="59">
        <f>C20</f>
        <v>20000</v>
      </c>
      <c r="G67" s="127">
        <f>F67</f>
        <v>20000</v>
      </c>
      <c r="H67" s="77"/>
      <c r="I67" s="77"/>
      <c r="J67" s="72"/>
    </row>
    <row r="68" spans="2:10" x14ac:dyDescent="0.3">
      <c r="B68" s="7"/>
      <c r="C68" s="34"/>
      <c r="D68" s="7"/>
      <c r="E68" s="41" t="s">
        <v>64</v>
      </c>
      <c r="F68" s="60">
        <f>SUM(F64:F67)</f>
        <v>336000</v>
      </c>
      <c r="G68" s="99">
        <f>SUM(G64:G67)</f>
        <v>336000</v>
      </c>
      <c r="H68" s="77"/>
      <c r="I68" s="77"/>
      <c r="J68" s="72"/>
    </row>
    <row r="69" spans="2:10" x14ac:dyDescent="0.3">
      <c r="B69" s="7"/>
      <c r="C69" s="34"/>
      <c r="D69" s="7"/>
      <c r="E69" s="23"/>
      <c r="F69" s="37"/>
      <c r="G69" s="96"/>
      <c r="H69" s="77"/>
      <c r="I69" s="77"/>
      <c r="J69" s="72"/>
    </row>
    <row r="70" spans="2:10" x14ac:dyDescent="0.3">
      <c r="B70" s="7"/>
      <c r="C70" s="34"/>
      <c r="D70" s="70">
        <v>0.9</v>
      </c>
      <c r="E70" s="23" t="s">
        <v>66</v>
      </c>
      <c r="F70" s="37">
        <f>H42+H43+H44*D70</f>
        <v>1758</v>
      </c>
      <c r="G70" s="96"/>
      <c r="H70" s="77"/>
      <c r="I70" s="77"/>
      <c r="J70" s="72"/>
    </row>
    <row r="71" spans="2:10" ht="16.2" x14ac:dyDescent="0.45">
      <c r="B71" s="7"/>
      <c r="C71" s="34"/>
      <c r="D71" s="7"/>
      <c r="E71" s="23" t="s">
        <v>67</v>
      </c>
      <c r="F71" s="59">
        <f>H47</f>
        <v>500</v>
      </c>
      <c r="G71" s="96"/>
      <c r="H71" s="77"/>
      <c r="I71" s="77"/>
      <c r="J71" s="72"/>
    </row>
    <row r="72" spans="2:10" ht="15" thickBot="1" x14ac:dyDescent="0.35">
      <c r="B72" s="43"/>
      <c r="C72" s="48"/>
      <c r="D72" s="43"/>
      <c r="E72" s="44"/>
      <c r="F72" s="46">
        <f>SUM(F70:F71)</f>
        <v>2258</v>
      </c>
      <c r="G72" s="128"/>
      <c r="H72" s="78"/>
      <c r="I72" s="78"/>
      <c r="J72" s="74"/>
    </row>
    <row r="73" spans="2:10" ht="28.8" x14ac:dyDescent="0.3">
      <c r="B73" s="28"/>
      <c r="C73" s="29" t="s">
        <v>82</v>
      </c>
      <c r="D73" s="50">
        <f>C28</f>
        <v>65</v>
      </c>
      <c r="E73" s="31" t="s">
        <v>84</v>
      </c>
      <c r="F73" s="32"/>
      <c r="G73" s="129"/>
      <c r="H73" s="75"/>
      <c r="I73" s="75"/>
      <c r="J73" s="76"/>
    </row>
    <row r="74" spans="2:10" x14ac:dyDescent="0.3">
      <c r="B74" s="7" t="s">
        <v>83</v>
      </c>
      <c r="C74" s="34" t="str">
        <f>B3</f>
        <v>Pat</v>
      </c>
      <c r="D74" s="23">
        <f>C28-C3</f>
        <v>32</v>
      </c>
      <c r="E74" s="23" t="s">
        <v>68</v>
      </c>
      <c r="F74" s="37"/>
      <c r="G74" s="96"/>
      <c r="H74" s="77"/>
      <c r="I74" s="77"/>
      <c r="J74" s="72"/>
    </row>
    <row r="75" spans="2:10" x14ac:dyDescent="0.3">
      <c r="B75" s="7"/>
      <c r="C75" s="34" t="s">
        <v>78</v>
      </c>
      <c r="D75" s="35">
        <v>12</v>
      </c>
      <c r="E75" s="23" t="s">
        <v>73</v>
      </c>
      <c r="F75" s="36">
        <f>D74*D75</f>
        <v>384</v>
      </c>
      <c r="G75" s="96"/>
      <c r="H75" s="77"/>
      <c r="I75" s="77"/>
      <c r="J75" s="72"/>
    </row>
    <row r="76" spans="2:10" x14ac:dyDescent="0.3">
      <c r="B76" s="7"/>
      <c r="C76" s="34" t="s">
        <v>79</v>
      </c>
      <c r="D76" s="23"/>
      <c r="E76" s="23" t="s">
        <v>74</v>
      </c>
      <c r="F76" s="178">
        <f>C25</f>
        <v>4.9019607843137303E-2</v>
      </c>
      <c r="G76" s="96" t="s">
        <v>122</v>
      </c>
      <c r="H76" s="77"/>
      <c r="I76" s="77"/>
      <c r="J76" s="72"/>
    </row>
    <row r="77" spans="2:10" x14ac:dyDescent="0.3">
      <c r="B77" s="7"/>
      <c r="C77" s="34" t="s">
        <v>80</v>
      </c>
      <c r="D77" s="35">
        <v>0</v>
      </c>
      <c r="E77" s="23" t="s">
        <v>75</v>
      </c>
      <c r="F77" s="37">
        <f>-F72</f>
        <v>-2258</v>
      </c>
      <c r="G77" s="96"/>
      <c r="H77" s="77"/>
      <c r="I77" s="77"/>
      <c r="J77" s="72"/>
    </row>
    <row r="78" spans="2:10" x14ac:dyDescent="0.3">
      <c r="B78" s="7"/>
      <c r="C78" s="34" t="s">
        <v>81</v>
      </c>
      <c r="D78" s="35">
        <v>1</v>
      </c>
      <c r="E78" s="23" t="s">
        <v>76</v>
      </c>
      <c r="F78" s="37">
        <v>0</v>
      </c>
      <c r="G78" s="96"/>
      <c r="H78" s="77"/>
      <c r="I78" s="77"/>
      <c r="J78" s="72"/>
    </row>
    <row r="79" spans="2:10" ht="15" thickBot="1" x14ac:dyDescent="0.35">
      <c r="B79" s="43"/>
      <c r="C79" s="48"/>
      <c r="D79" s="44"/>
      <c r="E79" s="45" t="s">
        <v>77</v>
      </c>
      <c r="F79" s="49">
        <f>PV(F76/12,F75,F77,F78,D77)</f>
        <v>437233.19136117952</v>
      </c>
      <c r="G79" s="128"/>
      <c r="H79" s="78"/>
      <c r="I79" s="78"/>
      <c r="J79" s="74"/>
    </row>
    <row r="80" spans="2:10" x14ac:dyDescent="0.3">
      <c r="B80" s="28" t="s">
        <v>85</v>
      </c>
      <c r="C80" s="29" t="s">
        <v>2</v>
      </c>
      <c r="D80" s="30">
        <v>14</v>
      </c>
      <c r="E80" s="31" t="s">
        <v>2</v>
      </c>
      <c r="F80" s="32"/>
      <c r="G80" s="129"/>
      <c r="H80" s="75"/>
      <c r="I80" s="75"/>
      <c r="J80" s="76"/>
    </row>
    <row r="81" spans="2:10" x14ac:dyDescent="0.3">
      <c r="B81" s="7"/>
      <c r="C81" s="34" t="s">
        <v>78</v>
      </c>
      <c r="D81" s="35">
        <v>1</v>
      </c>
      <c r="E81" s="23" t="s">
        <v>73</v>
      </c>
      <c r="F81" s="36">
        <f>D80-C6</f>
        <v>6</v>
      </c>
      <c r="G81" s="96"/>
      <c r="H81" s="77"/>
      <c r="I81" s="77"/>
      <c r="J81" s="72"/>
    </row>
    <row r="82" spans="2:10" x14ac:dyDescent="0.3">
      <c r="B82" s="7"/>
      <c r="C82" s="34"/>
      <c r="D82" s="23"/>
      <c r="E82" s="23" t="s">
        <v>74</v>
      </c>
      <c r="F82" s="178">
        <f>F76</f>
        <v>4.9019607843137303E-2</v>
      </c>
      <c r="G82" s="96" t="s">
        <v>122</v>
      </c>
      <c r="H82" s="71"/>
      <c r="I82" s="71"/>
      <c r="J82" s="72"/>
    </row>
    <row r="83" spans="2:10" x14ac:dyDescent="0.3">
      <c r="B83" s="7"/>
      <c r="C83" s="34"/>
      <c r="D83" s="23"/>
      <c r="E83" s="23" t="s">
        <v>75</v>
      </c>
      <c r="F83" s="37">
        <f>-K52/2</f>
        <v>-4998</v>
      </c>
      <c r="G83" s="96"/>
      <c r="H83" s="71"/>
      <c r="I83" s="71"/>
      <c r="J83" s="72"/>
    </row>
    <row r="84" spans="2:10" x14ac:dyDescent="0.3">
      <c r="B84" s="7"/>
      <c r="C84" s="34"/>
      <c r="D84" s="23"/>
      <c r="E84" s="23" t="s">
        <v>76</v>
      </c>
      <c r="F84" s="37">
        <v>0</v>
      </c>
      <c r="G84" s="96"/>
      <c r="H84" s="71"/>
      <c r="I84" s="71"/>
      <c r="J84" s="72"/>
    </row>
    <row r="85" spans="2:10" ht="15" thickBot="1" x14ac:dyDescent="0.35">
      <c r="B85" s="43"/>
      <c r="C85" s="48"/>
      <c r="D85" s="44"/>
      <c r="E85" s="45" t="s">
        <v>77</v>
      </c>
      <c r="F85" s="49">
        <f>PV(F82/D81,F81,F83,F84,D77)</f>
        <v>25448.040485732236</v>
      </c>
      <c r="G85" s="128"/>
      <c r="H85" s="73"/>
      <c r="I85" s="73"/>
      <c r="J85" s="74"/>
    </row>
    <row r="86" spans="2:10" x14ac:dyDescent="0.3">
      <c r="B86" s="28" t="s">
        <v>85</v>
      </c>
      <c r="C86" s="29" t="s">
        <v>3</v>
      </c>
      <c r="D86" s="50">
        <f>D80</f>
        <v>14</v>
      </c>
      <c r="E86" s="31" t="s">
        <v>3</v>
      </c>
      <c r="F86" s="32"/>
      <c r="G86" s="129"/>
      <c r="H86" s="79"/>
      <c r="I86" s="79"/>
      <c r="J86" s="76"/>
    </row>
    <row r="87" spans="2:10" x14ac:dyDescent="0.3">
      <c r="B87" s="7"/>
      <c r="C87" s="34" t="s">
        <v>78</v>
      </c>
      <c r="D87" s="23">
        <v>1</v>
      </c>
      <c r="E87" s="23" t="s">
        <v>73</v>
      </c>
      <c r="F87" s="36">
        <f>D86-C7</f>
        <v>4</v>
      </c>
      <c r="G87" s="96"/>
      <c r="H87" s="71"/>
      <c r="I87" s="71"/>
      <c r="J87" s="72"/>
    </row>
    <row r="88" spans="2:10" x14ac:dyDescent="0.3">
      <c r="B88" s="7"/>
      <c r="C88" s="34"/>
      <c r="D88" s="23"/>
      <c r="E88" s="23" t="s">
        <v>74</v>
      </c>
      <c r="F88" s="178">
        <f>F82</f>
        <v>4.9019607843137303E-2</v>
      </c>
      <c r="G88" s="96" t="s">
        <v>122</v>
      </c>
      <c r="H88" s="71"/>
      <c r="I88" s="71"/>
      <c r="J88" s="72"/>
    </row>
    <row r="89" spans="2:10" x14ac:dyDescent="0.3">
      <c r="B89" s="7"/>
      <c r="C89" s="34"/>
      <c r="D89" s="23"/>
      <c r="E89" s="23" t="s">
        <v>75</v>
      </c>
      <c r="F89" s="37">
        <f>F83</f>
        <v>-4998</v>
      </c>
      <c r="G89" s="96"/>
      <c r="H89" s="71"/>
      <c r="I89" s="71"/>
      <c r="J89" s="72"/>
    </row>
    <row r="90" spans="2:10" x14ac:dyDescent="0.3">
      <c r="B90" s="7"/>
      <c r="C90" s="34"/>
      <c r="D90" s="23"/>
      <c r="E90" s="23" t="s">
        <v>76</v>
      </c>
      <c r="F90" s="37">
        <v>0</v>
      </c>
      <c r="G90" s="96"/>
      <c r="H90" s="71"/>
      <c r="I90" s="71"/>
      <c r="J90" s="72"/>
    </row>
    <row r="91" spans="2:10" ht="15" thickBot="1" x14ac:dyDescent="0.35">
      <c r="B91" s="7"/>
      <c r="C91" s="34"/>
      <c r="D91" s="23"/>
      <c r="E91" s="41" t="s">
        <v>77</v>
      </c>
      <c r="F91" s="42">
        <f>PV(F88/D87,F87,F89,F90,D77)</f>
        <v>17763.096070852407</v>
      </c>
      <c r="G91" s="96"/>
      <c r="H91" s="71"/>
      <c r="I91" s="71"/>
      <c r="J91" s="72"/>
    </row>
    <row r="92" spans="2:10" ht="15" thickBot="1" x14ac:dyDescent="0.35">
      <c r="B92" s="52"/>
      <c r="C92" s="53"/>
      <c r="D92" s="54"/>
      <c r="E92" s="55" t="s">
        <v>86</v>
      </c>
      <c r="F92" s="56">
        <f>F79+F85+F91</f>
        <v>480444.3279177642</v>
      </c>
      <c r="G92" s="130">
        <f>F92</f>
        <v>480444.3279177642</v>
      </c>
      <c r="H92" s="80"/>
      <c r="I92" s="80"/>
      <c r="J92" s="81"/>
    </row>
    <row r="93" spans="2:10" ht="15" thickBot="1" x14ac:dyDescent="0.35">
      <c r="G93" s="103"/>
    </row>
    <row r="94" spans="2:10" x14ac:dyDescent="0.3">
      <c r="B94" s="4" t="s">
        <v>87</v>
      </c>
      <c r="C94" s="61" t="s">
        <v>91</v>
      </c>
      <c r="D94" s="30">
        <v>18</v>
      </c>
      <c r="E94" s="31" t="s">
        <v>2</v>
      </c>
      <c r="F94" s="32"/>
      <c r="G94" s="129"/>
      <c r="H94" s="188" t="s">
        <v>96</v>
      </c>
      <c r="I94" s="188"/>
      <c r="J94" s="33"/>
    </row>
    <row r="95" spans="2:10" x14ac:dyDescent="0.3">
      <c r="B95" s="7"/>
      <c r="C95" s="63" t="s">
        <v>78</v>
      </c>
      <c r="D95" s="35">
        <v>1</v>
      </c>
      <c r="E95" s="23" t="s">
        <v>73</v>
      </c>
      <c r="F95" s="36">
        <f>C33</f>
        <v>3</v>
      </c>
      <c r="G95" s="96"/>
      <c r="H95" s="23" t="s">
        <v>73</v>
      </c>
      <c r="I95" s="36">
        <f>D94-C6</f>
        <v>10</v>
      </c>
      <c r="J95" s="38"/>
    </row>
    <row r="96" spans="2:10" x14ac:dyDescent="0.3">
      <c r="B96" s="7"/>
      <c r="C96" s="63" t="s">
        <v>81</v>
      </c>
      <c r="D96" s="166">
        <v>1</v>
      </c>
      <c r="E96" s="23" t="s">
        <v>74</v>
      </c>
      <c r="F96" s="173">
        <f>C32</f>
        <v>2.8846153846153966E-2</v>
      </c>
      <c r="G96" s="96" t="s">
        <v>118</v>
      </c>
      <c r="H96" s="23" t="s">
        <v>74</v>
      </c>
      <c r="I96" s="171">
        <f>C31</f>
        <v>0.04</v>
      </c>
      <c r="J96" s="38" t="s">
        <v>40</v>
      </c>
    </row>
    <row r="97" spans="2:10" x14ac:dyDescent="0.3">
      <c r="B97" s="7"/>
      <c r="C97" s="63"/>
      <c r="D97" s="23"/>
      <c r="E97" s="23" t="s">
        <v>75</v>
      </c>
      <c r="F97" s="40">
        <f>I99</f>
        <v>-17762.931419020137</v>
      </c>
      <c r="G97" s="96"/>
      <c r="H97" s="23" t="s">
        <v>93</v>
      </c>
      <c r="I97" s="37">
        <f>C30</f>
        <v>12000</v>
      </c>
      <c r="J97" s="38"/>
    </row>
    <row r="98" spans="2:10" x14ac:dyDescent="0.3">
      <c r="B98" s="7"/>
      <c r="C98" s="63"/>
      <c r="D98" s="23"/>
      <c r="E98" s="23" t="s">
        <v>76</v>
      </c>
      <c r="F98" s="124">
        <v>0</v>
      </c>
      <c r="G98" s="96"/>
      <c r="H98" s="23" t="s">
        <v>75</v>
      </c>
      <c r="I98" s="37">
        <v>0</v>
      </c>
      <c r="J98" s="38"/>
    </row>
    <row r="99" spans="2:10" ht="15" thickBot="1" x14ac:dyDescent="0.35">
      <c r="B99" s="7"/>
      <c r="C99" s="64" t="s">
        <v>109</v>
      </c>
      <c r="D99" s="44"/>
      <c r="E99" s="45" t="s">
        <v>77</v>
      </c>
      <c r="F99" s="49">
        <f>PV(F96/D95,F95,F97,F98,D96)</f>
        <v>51808.679262410638</v>
      </c>
      <c r="G99" s="128" t="s">
        <v>120</v>
      </c>
      <c r="H99" s="45" t="s">
        <v>94</v>
      </c>
      <c r="I99" s="49">
        <f>FV(I96/D95,I95,I98,I97)</f>
        <v>-17762.931419020137</v>
      </c>
      <c r="J99" s="65"/>
    </row>
    <row r="100" spans="2:10" x14ac:dyDescent="0.3">
      <c r="B100" s="7"/>
      <c r="C100" s="61" t="s">
        <v>78</v>
      </c>
      <c r="D100" s="50">
        <v>1</v>
      </c>
      <c r="E100" s="50" t="s">
        <v>73</v>
      </c>
      <c r="F100" s="66">
        <f>I95</f>
        <v>10</v>
      </c>
      <c r="G100" s="129"/>
      <c r="H100" s="71"/>
      <c r="I100" s="71"/>
      <c r="J100" s="72"/>
    </row>
    <row r="101" spans="2:10" x14ac:dyDescent="0.3">
      <c r="B101" s="7"/>
      <c r="C101" s="63" t="s">
        <v>80</v>
      </c>
      <c r="D101" s="166">
        <v>0</v>
      </c>
      <c r="E101" s="23" t="s">
        <v>74</v>
      </c>
      <c r="F101" s="176">
        <f>C24</f>
        <v>7.0000000000000007E-2</v>
      </c>
      <c r="G101" s="96" t="s">
        <v>119</v>
      </c>
      <c r="H101" s="71"/>
      <c r="I101" s="71"/>
      <c r="J101" s="72"/>
    </row>
    <row r="102" spans="2:10" x14ac:dyDescent="0.3">
      <c r="B102" s="7"/>
      <c r="C102" s="63"/>
      <c r="D102" s="23"/>
      <c r="E102" s="23" t="s">
        <v>75</v>
      </c>
      <c r="F102" s="124">
        <v>0</v>
      </c>
      <c r="G102" s="96"/>
      <c r="H102" s="71"/>
      <c r="I102" s="71"/>
      <c r="J102" s="72"/>
    </row>
    <row r="103" spans="2:10" x14ac:dyDescent="0.3">
      <c r="B103" s="7"/>
      <c r="C103" s="63"/>
      <c r="D103" s="23"/>
      <c r="E103" s="23" t="s">
        <v>76</v>
      </c>
      <c r="F103" s="40">
        <f>F99</f>
        <v>51808.679262410638</v>
      </c>
      <c r="G103" s="96"/>
      <c r="H103" s="71"/>
      <c r="I103" s="71"/>
      <c r="J103" s="72"/>
    </row>
    <row r="104" spans="2:10" x14ac:dyDescent="0.3">
      <c r="B104" s="7"/>
      <c r="C104" s="67" t="s">
        <v>98</v>
      </c>
      <c r="D104" s="23"/>
      <c r="E104" s="41" t="s">
        <v>77</v>
      </c>
      <c r="F104" s="42">
        <f>PV(F101/D100,F100,F102,F103,D101)</f>
        <v>-26336.905429481081</v>
      </c>
      <c r="G104" s="96" t="s">
        <v>121</v>
      </c>
      <c r="H104" s="71"/>
      <c r="I104" s="71"/>
      <c r="J104" s="72"/>
    </row>
    <row r="105" spans="2:10" x14ac:dyDescent="0.3">
      <c r="B105" s="7"/>
      <c r="C105" s="67"/>
      <c r="D105" s="23"/>
      <c r="E105" s="41" t="s">
        <v>99</v>
      </c>
      <c r="F105" s="47">
        <f>C35</f>
        <v>5000</v>
      </c>
      <c r="G105" s="96"/>
      <c r="H105" s="71"/>
      <c r="I105" s="71"/>
      <c r="J105" s="72"/>
    </row>
    <row r="106" spans="2:10" ht="15" thickBot="1" x14ac:dyDescent="0.35">
      <c r="B106" s="43"/>
      <c r="C106" s="68"/>
      <c r="D106" s="44"/>
      <c r="E106" s="45" t="s">
        <v>98</v>
      </c>
      <c r="F106" s="49">
        <f>SUM(F104:F105)</f>
        <v>-21336.905429481081</v>
      </c>
      <c r="G106" s="128"/>
      <c r="H106" s="73"/>
      <c r="I106" s="73"/>
      <c r="J106" s="74"/>
    </row>
    <row r="107" spans="2:10" x14ac:dyDescent="0.3">
      <c r="B107" s="4" t="s">
        <v>87</v>
      </c>
      <c r="C107" s="61" t="s">
        <v>92</v>
      </c>
      <c r="D107" s="50">
        <f>D94</f>
        <v>18</v>
      </c>
      <c r="E107" s="31" t="s">
        <v>3</v>
      </c>
      <c r="F107" s="32"/>
      <c r="G107" s="129"/>
      <c r="H107" s="188" t="s">
        <v>96</v>
      </c>
      <c r="I107" s="188"/>
      <c r="J107" s="33"/>
    </row>
    <row r="108" spans="2:10" x14ac:dyDescent="0.3">
      <c r="B108" s="7"/>
      <c r="C108" s="63" t="s">
        <v>78</v>
      </c>
      <c r="D108" s="23">
        <f>D95</f>
        <v>1</v>
      </c>
      <c r="E108" s="23" t="s">
        <v>73</v>
      </c>
      <c r="F108" s="36">
        <f>F95</f>
        <v>3</v>
      </c>
      <c r="G108" s="96"/>
      <c r="H108" s="23" t="s">
        <v>73</v>
      </c>
      <c r="I108" s="36">
        <f>D107-C7</f>
        <v>8</v>
      </c>
      <c r="J108" s="38"/>
    </row>
    <row r="109" spans="2:10" x14ac:dyDescent="0.3">
      <c r="B109" s="7"/>
      <c r="C109" s="63" t="s">
        <v>81</v>
      </c>
      <c r="D109" s="166">
        <v>1</v>
      </c>
      <c r="E109" s="23" t="s">
        <v>74</v>
      </c>
      <c r="F109" s="173">
        <f>F96</f>
        <v>2.8846153846153966E-2</v>
      </c>
      <c r="G109" s="96" t="s">
        <v>118</v>
      </c>
      <c r="H109" s="23" t="s">
        <v>74</v>
      </c>
      <c r="I109" s="171">
        <f>I96</f>
        <v>0.04</v>
      </c>
      <c r="J109" s="38" t="s">
        <v>40</v>
      </c>
    </row>
    <row r="110" spans="2:10" x14ac:dyDescent="0.3">
      <c r="B110" s="7"/>
      <c r="C110" s="63"/>
      <c r="D110" s="23"/>
      <c r="E110" s="23" t="s">
        <v>75</v>
      </c>
      <c r="F110" s="40">
        <f>I112</f>
        <v>-16422.828604863291</v>
      </c>
      <c r="G110" s="96"/>
      <c r="H110" s="23" t="s">
        <v>93</v>
      </c>
      <c r="I110" s="37">
        <f>I97</f>
        <v>12000</v>
      </c>
      <c r="J110" s="38"/>
    </row>
    <row r="111" spans="2:10" x14ac:dyDescent="0.3">
      <c r="B111" s="7"/>
      <c r="C111" s="63"/>
      <c r="D111" s="23"/>
      <c r="E111" s="23" t="s">
        <v>76</v>
      </c>
      <c r="F111" s="124">
        <v>0</v>
      </c>
      <c r="G111" s="96"/>
      <c r="H111" s="23" t="s">
        <v>75</v>
      </c>
      <c r="I111" s="37">
        <v>0</v>
      </c>
      <c r="J111" s="38"/>
    </row>
    <row r="112" spans="2:10" ht="15" thickBot="1" x14ac:dyDescent="0.35">
      <c r="B112" s="7"/>
      <c r="C112" s="64" t="str">
        <f>C99</f>
        <v xml:space="preserve">Cost all 3 years </v>
      </c>
      <c r="D112" s="44"/>
      <c r="E112" s="45" t="s">
        <v>77</v>
      </c>
      <c r="F112" s="49">
        <f>PV(F109/D108,F108,F110,F111,D109)</f>
        <v>47900.036300305685</v>
      </c>
      <c r="G112" s="128"/>
      <c r="H112" s="45" t="s">
        <v>94</v>
      </c>
      <c r="I112" s="49">
        <f>FV(I109/D108,I108,I111,I110,0)</f>
        <v>-16422.828604863291</v>
      </c>
      <c r="J112" s="65"/>
    </row>
    <row r="113" spans="2:10" x14ac:dyDescent="0.3">
      <c r="B113" s="7"/>
      <c r="C113" s="61" t="s">
        <v>78</v>
      </c>
      <c r="D113" s="50">
        <f>D108</f>
        <v>1</v>
      </c>
      <c r="E113" s="50" t="s">
        <v>73</v>
      </c>
      <c r="F113" s="66">
        <f>I108</f>
        <v>8</v>
      </c>
      <c r="G113" s="129"/>
      <c r="H113" s="71"/>
      <c r="I113" s="71"/>
      <c r="J113" s="72"/>
    </row>
    <row r="114" spans="2:10" x14ac:dyDescent="0.3">
      <c r="B114" s="7"/>
      <c r="C114" s="63" t="s">
        <v>80</v>
      </c>
      <c r="D114" s="166">
        <v>0</v>
      </c>
      <c r="E114" s="23" t="s">
        <v>74</v>
      </c>
      <c r="F114" s="176">
        <f>F101</f>
        <v>7.0000000000000007E-2</v>
      </c>
      <c r="G114" s="96" t="s">
        <v>119</v>
      </c>
      <c r="H114" s="71"/>
      <c r="I114" s="71"/>
      <c r="J114" s="72"/>
    </row>
    <row r="115" spans="2:10" x14ac:dyDescent="0.3">
      <c r="B115" s="7"/>
      <c r="C115" s="63"/>
      <c r="D115" s="23"/>
      <c r="E115" s="23" t="s">
        <v>75</v>
      </c>
      <c r="F115" s="124">
        <v>0</v>
      </c>
      <c r="G115" s="96"/>
      <c r="H115" s="71"/>
      <c r="I115" s="71"/>
      <c r="J115" s="72"/>
    </row>
    <row r="116" spans="2:10" x14ac:dyDescent="0.3">
      <c r="B116" s="7"/>
      <c r="C116" s="63"/>
      <c r="D116" s="23"/>
      <c r="E116" s="23" t="s">
        <v>76</v>
      </c>
      <c r="F116" s="40">
        <f>F112</f>
        <v>47900.036300305685</v>
      </c>
      <c r="G116" s="96"/>
      <c r="H116" s="71"/>
      <c r="I116" s="71"/>
      <c r="J116" s="72"/>
    </row>
    <row r="117" spans="2:10" x14ac:dyDescent="0.3">
      <c r="B117" s="7"/>
      <c r="C117" s="67" t="s">
        <v>98</v>
      </c>
      <c r="D117" s="23"/>
      <c r="E117" s="41" t="s">
        <v>77</v>
      </c>
      <c r="F117" s="42">
        <f>PV(F114/D113,F113,F115,F116,D114)</f>
        <v>-27878.257235773748</v>
      </c>
      <c r="G117" s="96"/>
      <c r="H117" s="71"/>
      <c r="I117" s="71"/>
      <c r="J117" s="72"/>
    </row>
    <row r="118" spans="2:10" x14ac:dyDescent="0.3">
      <c r="B118" s="7"/>
      <c r="C118" s="63"/>
      <c r="D118" s="23"/>
      <c r="E118" s="41" t="s">
        <v>99</v>
      </c>
      <c r="F118" s="47">
        <f>C36</f>
        <v>12000</v>
      </c>
      <c r="G118" s="103"/>
      <c r="H118" s="71"/>
      <c r="I118" s="71"/>
      <c r="J118" s="72"/>
    </row>
    <row r="119" spans="2:10" ht="15" thickBot="1" x14ac:dyDescent="0.35">
      <c r="B119" s="7"/>
      <c r="C119" s="68"/>
      <c r="D119" s="44"/>
      <c r="E119" s="45" t="s">
        <v>98</v>
      </c>
      <c r="F119" s="49">
        <f>SUM(F117:F118)</f>
        <v>-15878.257235773748</v>
      </c>
      <c r="G119" s="131"/>
      <c r="H119" s="71"/>
      <c r="I119" s="71"/>
      <c r="J119" s="72"/>
    </row>
    <row r="120" spans="2:10" ht="15" thickBot="1" x14ac:dyDescent="0.35">
      <c r="B120" s="52"/>
      <c r="C120" s="69"/>
      <c r="D120" s="54"/>
      <c r="E120" s="55" t="s">
        <v>87</v>
      </c>
      <c r="F120" s="56">
        <f>-F106-F119</f>
        <v>37215.162665254829</v>
      </c>
      <c r="G120" s="130">
        <f>F120</f>
        <v>37215.162665254829</v>
      </c>
      <c r="H120" s="80"/>
      <c r="I120" s="80"/>
      <c r="J120" s="81"/>
    </row>
    <row r="121" spans="2:10" ht="43.2" x14ac:dyDescent="0.3">
      <c r="C121" s="113" t="s">
        <v>108</v>
      </c>
      <c r="D121" s="50"/>
      <c r="E121" s="50"/>
      <c r="F121" s="114" t="str">
        <f>F63</f>
        <v>Pat</v>
      </c>
      <c r="G121" s="132" t="str">
        <f>G63</f>
        <v>Leslie</v>
      </c>
    </row>
    <row r="122" spans="2:10" x14ac:dyDescent="0.3">
      <c r="C122" s="63" t="s">
        <v>78</v>
      </c>
      <c r="D122" s="23">
        <v>12</v>
      </c>
      <c r="E122" s="23" t="s">
        <v>73</v>
      </c>
      <c r="F122" s="116">
        <f>(C28-C4)*D122</f>
        <v>360</v>
      </c>
      <c r="G122" s="133">
        <f>(C28-C3)*D122</f>
        <v>384</v>
      </c>
    </row>
    <row r="123" spans="2:10" x14ac:dyDescent="0.3">
      <c r="C123" s="63"/>
      <c r="D123" s="23"/>
      <c r="E123" s="23" t="s">
        <v>74</v>
      </c>
      <c r="F123" s="161">
        <f>C24</f>
        <v>7.0000000000000007E-2</v>
      </c>
      <c r="G123" s="162">
        <f>F123</f>
        <v>7.0000000000000007E-2</v>
      </c>
      <c r="H123" t="s">
        <v>126</v>
      </c>
    </row>
    <row r="124" spans="2:10" ht="15" thickBot="1" x14ac:dyDescent="0.35">
      <c r="C124" s="63" t="s">
        <v>27</v>
      </c>
      <c r="D124" s="23"/>
      <c r="E124" s="23" t="s">
        <v>93</v>
      </c>
      <c r="F124" s="118">
        <f>-F8</f>
        <v>-6700</v>
      </c>
      <c r="G124" s="135">
        <f>F124</f>
        <v>-6700</v>
      </c>
    </row>
    <row r="125" spans="2:10" ht="43.8" thickBot="1" x14ac:dyDescent="0.35">
      <c r="C125" s="63"/>
      <c r="D125" s="23"/>
      <c r="E125" s="23" t="s">
        <v>75</v>
      </c>
      <c r="F125" s="86">
        <f>-H54</f>
        <v>-400</v>
      </c>
      <c r="G125" s="136">
        <v>-1000</v>
      </c>
      <c r="H125" s="119" t="s">
        <v>103</v>
      </c>
    </row>
    <row r="126" spans="2:10" ht="15" thickBot="1" x14ac:dyDescent="0.35">
      <c r="C126" s="68"/>
      <c r="D126" s="44"/>
      <c r="E126" s="45" t="s">
        <v>94</v>
      </c>
      <c r="F126" s="125">
        <f>FV(F123/D122,F122,F125,F124,D77)</f>
        <v>542368.93139528646</v>
      </c>
      <c r="G126" s="137">
        <f>FV(G123/D122,G122,G125,G124,D77)</f>
        <v>1490938.0878698251</v>
      </c>
      <c r="H126" s="2"/>
    </row>
    <row r="127" spans="2:10" x14ac:dyDescent="0.3">
      <c r="C127" s="61" t="s">
        <v>78</v>
      </c>
      <c r="D127" s="50">
        <v>1</v>
      </c>
      <c r="E127" s="50" t="s">
        <v>73</v>
      </c>
      <c r="F127" s="50">
        <f>F122/D122</f>
        <v>30</v>
      </c>
      <c r="G127" s="138">
        <f>G122/D122</f>
        <v>32</v>
      </c>
    </row>
    <row r="128" spans="2:10" x14ac:dyDescent="0.3">
      <c r="C128" s="63"/>
      <c r="D128" s="23"/>
      <c r="E128" s="23" t="s">
        <v>74</v>
      </c>
      <c r="F128" s="163">
        <f>F123</f>
        <v>7.0000000000000007E-2</v>
      </c>
      <c r="G128" s="164">
        <f>G123</f>
        <v>7.0000000000000007E-2</v>
      </c>
      <c r="H128" t="s">
        <v>126</v>
      </c>
    </row>
    <row r="129" spans="3:7" x14ac:dyDescent="0.3">
      <c r="C129" s="63"/>
      <c r="D129" s="23"/>
      <c r="E129" s="23" t="s">
        <v>75</v>
      </c>
      <c r="F129" s="93">
        <v>0</v>
      </c>
      <c r="G129" s="98">
        <v>0</v>
      </c>
    </row>
    <row r="130" spans="3:7" x14ac:dyDescent="0.3">
      <c r="C130" s="63"/>
      <c r="D130" s="23"/>
      <c r="E130" s="23" t="s">
        <v>76</v>
      </c>
      <c r="F130" s="122">
        <f>-F126</f>
        <v>-542368.93139528646</v>
      </c>
      <c r="G130" s="140">
        <f>-G126</f>
        <v>-1490938.0878698251</v>
      </c>
    </row>
    <row r="131" spans="3:7" ht="15" thickBot="1" x14ac:dyDescent="0.35">
      <c r="C131" s="68"/>
      <c r="D131" s="44"/>
      <c r="E131" s="45" t="s">
        <v>77</v>
      </c>
      <c r="F131" s="51">
        <f>PV(F128/D127,F127,F129,F130,D77)</f>
        <v>71249.442951614285</v>
      </c>
      <c r="G131" s="141">
        <f>PV(G128/D127,G127,G129,G130,D77)</f>
        <v>171071.91759929725</v>
      </c>
    </row>
    <row r="132" spans="3:7" ht="28.8" x14ac:dyDescent="0.3">
      <c r="C132" s="113" t="s">
        <v>104</v>
      </c>
      <c r="D132" s="50"/>
      <c r="E132" s="50"/>
      <c r="F132" s="114" t="str">
        <f>F121</f>
        <v>Pat</v>
      </c>
      <c r="G132" s="115" t="str">
        <f>G121</f>
        <v>Leslie</v>
      </c>
    </row>
    <row r="133" spans="3:7" x14ac:dyDescent="0.3">
      <c r="C133" s="63"/>
      <c r="D133" s="23" t="s">
        <v>112</v>
      </c>
      <c r="E133" s="23" t="s">
        <v>64</v>
      </c>
      <c r="F133" s="86">
        <f>F68</f>
        <v>336000</v>
      </c>
      <c r="G133" s="120">
        <f>G68</f>
        <v>336000</v>
      </c>
    </row>
    <row r="134" spans="3:7" x14ac:dyDescent="0.3">
      <c r="C134" s="63"/>
      <c r="D134" s="23" t="s">
        <v>110</v>
      </c>
      <c r="E134" s="23" t="s">
        <v>105</v>
      </c>
      <c r="F134" s="122">
        <f>F92</f>
        <v>480444.3279177642</v>
      </c>
      <c r="G134" s="123">
        <f>G92</f>
        <v>480444.3279177642</v>
      </c>
    </row>
    <row r="135" spans="3:7" x14ac:dyDescent="0.3">
      <c r="C135" s="63"/>
      <c r="D135" s="23" t="s">
        <v>111</v>
      </c>
      <c r="E135" s="23" t="s">
        <v>87</v>
      </c>
      <c r="F135" s="122">
        <f>F120</f>
        <v>37215.162665254829</v>
      </c>
      <c r="G135" s="123">
        <f>G120</f>
        <v>37215.162665254829</v>
      </c>
    </row>
    <row r="136" spans="3:7" ht="28.8" x14ac:dyDescent="0.3">
      <c r="C136" s="63"/>
      <c r="D136" s="23"/>
      <c r="E136" s="142" t="s">
        <v>106</v>
      </c>
      <c r="F136" s="122">
        <f>F131</f>
        <v>71249.442951614285</v>
      </c>
      <c r="G136" s="123">
        <f>G131</f>
        <v>171071.91759929725</v>
      </c>
    </row>
    <row r="137" spans="3:7" ht="16.2" x14ac:dyDescent="0.45">
      <c r="C137" s="63"/>
      <c r="D137" s="23"/>
      <c r="E137" s="23" t="s">
        <v>107</v>
      </c>
      <c r="F137" s="88">
        <f>C42</f>
        <v>200000</v>
      </c>
      <c r="G137" s="143">
        <f>F137</f>
        <v>200000</v>
      </c>
    </row>
    <row r="138" spans="3:7" ht="15" thickBot="1" x14ac:dyDescent="0.35">
      <c r="C138" s="68"/>
      <c r="D138" s="44"/>
      <c r="E138" s="44"/>
      <c r="F138" s="144">
        <f>SUM(F133:F137)</f>
        <v>1124908.9335346334</v>
      </c>
      <c r="G138" s="145">
        <f>SUM(G133:G137)</f>
        <v>1224731.4081823162</v>
      </c>
    </row>
    <row r="140" spans="3:7" ht="16.2" customHeight="1" x14ac:dyDescent="0.3"/>
  </sheetData>
  <mergeCells count="6">
    <mergeCell ref="H107:I107"/>
    <mergeCell ref="B2:C2"/>
    <mergeCell ref="E2:I2"/>
    <mergeCell ref="F28:G28"/>
    <mergeCell ref="I28:J28"/>
    <mergeCell ref="H94:I9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B10E7-C960-444C-B7BA-50F24699CC61}">
  <dimension ref="A1:K140"/>
  <sheetViews>
    <sheetView zoomScale="60" zoomScaleNormal="60" workbookViewId="0">
      <selection activeCell="C32" sqref="C32"/>
    </sheetView>
  </sheetViews>
  <sheetFormatPr defaultRowHeight="14.4" x14ac:dyDescent="0.3"/>
  <cols>
    <col min="1" max="1" width="4" customWidth="1"/>
    <col min="2" max="2" width="17.33203125" bestFit="1" customWidth="1"/>
    <col min="3" max="3" width="21" style="1" bestFit="1" customWidth="1"/>
    <col min="4" max="4" width="4.5546875" bestFit="1" customWidth="1"/>
    <col min="5" max="5" width="25" bestFit="1" customWidth="1"/>
    <col min="6" max="6" width="18.44140625" bestFit="1" customWidth="1"/>
    <col min="7" max="7" width="27.88671875" bestFit="1" customWidth="1"/>
    <col min="8" max="8" width="24" bestFit="1" customWidth="1"/>
    <col min="9" max="11" width="15.44140625" bestFit="1" customWidth="1"/>
  </cols>
  <sheetData>
    <row r="1" spans="2:9" ht="15" thickBot="1" x14ac:dyDescent="0.35"/>
    <row r="2" spans="2:9" ht="15" thickBot="1" x14ac:dyDescent="0.35">
      <c r="B2" s="189" t="s">
        <v>102</v>
      </c>
      <c r="C2" s="190"/>
      <c r="E2" s="191" t="s">
        <v>17</v>
      </c>
      <c r="F2" s="192"/>
      <c r="G2" s="192"/>
      <c r="H2" s="192"/>
      <c r="I2" s="193"/>
    </row>
    <row r="3" spans="2:9" x14ac:dyDescent="0.3">
      <c r="B3" s="7" t="s">
        <v>127</v>
      </c>
      <c r="C3" s="104">
        <v>33</v>
      </c>
      <c r="E3" s="4" t="s">
        <v>28</v>
      </c>
      <c r="F3" s="149" t="str">
        <f>B3</f>
        <v>Spouse 1</v>
      </c>
      <c r="G3" s="149" t="str">
        <f>B4</f>
        <v>Spouse 2</v>
      </c>
      <c r="H3" s="149" t="s">
        <v>19</v>
      </c>
      <c r="I3" s="148" t="s">
        <v>20</v>
      </c>
    </row>
    <row r="4" spans="2:9" x14ac:dyDescent="0.3">
      <c r="B4" s="7" t="s">
        <v>128</v>
      </c>
      <c r="C4" s="104">
        <v>35</v>
      </c>
      <c r="E4" s="7" t="s">
        <v>24</v>
      </c>
      <c r="F4" s="27">
        <v>0</v>
      </c>
      <c r="G4" s="27">
        <v>0</v>
      </c>
      <c r="H4" s="27">
        <v>2000</v>
      </c>
      <c r="I4" s="27">
        <f>SUM(F4:H4)</f>
        <v>2000</v>
      </c>
    </row>
    <row r="5" spans="2:9" ht="16.2" x14ac:dyDescent="0.45">
      <c r="B5" s="7"/>
      <c r="C5" s="105"/>
      <c r="E5" s="7" t="s">
        <v>25</v>
      </c>
      <c r="F5" s="146">
        <v>0</v>
      </c>
      <c r="G5" s="146">
        <v>0</v>
      </c>
      <c r="H5" s="146">
        <v>0</v>
      </c>
      <c r="I5" s="146">
        <f>SUM(F5:H5)</f>
        <v>0</v>
      </c>
    </row>
    <row r="6" spans="2:9" x14ac:dyDescent="0.3">
      <c r="B6" s="7" t="s">
        <v>2</v>
      </c>
      <c r="C6" s="104">
        <v>9</v>
      </c>
      <c r="E6" s="12" t="s">
        <v>23</v>
      </c>
      <c r="F6" s="13">
        <f>SUM(F4:F5)</f>
        <v>0</v>
      </c>
      <c r="G6" s="13">
        <f t="shared" ref="G6:I6" si="0">SUM(G4:G5)</f>
        <v>0</v>
      </c>
      <c r="H6" s="13">
        <f t="shared" si="0"/>
        <v>2000</v>
      </c>
      <c r="I6" s="14">
        <f t="shared" si="0"/>
        <v>2000</v>
      </c>
    </row>
    <row r="7" spans="2:9" x14ac:dyDescent="0.3">
      <c r="B7" s="7" t="s">
        <v>3</v>
      </c>
      <c r="C7" s="104">
        <v>10</v>
      </c>
      <c r="E7" s="7"/>
      <c r="F7" s="8"/>
      <c r="G7" s="8"/>
      <c r="H7" s="8"/>
      <c r="I7" s="9"/>
    </row>
    <row r="8" spans="2:9" x14ac:dyDescent="0.3">
      <c r="B8" s="7"/>
      <c r="C8" s="105"/>
      <c r="E8" s="7" t="s">
        <v>27</v>
      </c>
      <c r="F8" s="27">
        <v>6700</v>
      </c>
      <c r="G8" s="27">
        <v>0</v>
      </c>
      <c r="H8" s="27">
        <v>0</v>
      </c>
      <c r="I8" s="27">
        <f>SUM(F8:H8)</f>
        <v>6700</v>
      </c>
    </row>
    <row r="9" spans="2:9" ht="16.2" x14ac:dyDescent="0.45">
      <c r="B9" s="12" t="s">
        <v>4</v>
      </c>
      <c r="C9" s="105"/>
      <c r="E9" s="7" t="s">
        <v>99</v>
      </c>
      <c r="F9" s="146">
        <v>0</v>
      </c>
      <c r="G9" s="146">
        <v>0</v>
      </c>
      <c r="H9" s="179">
        <f>C37</f>
        <v>22000</v>
      </c>
      <c r="I9" s="146">
        <f>SUM(F9:H9)</f>
        <v>22000</v>
      </c>
    </row>
    <row r="10" spans="2:9" x14ac:dyDescent="0.3">
      <c r="B10" s="7" t="s">
        <v>5</v>
      </c>
      <c r="C10" s="104" t="s">
        <v>6</v>
      </c>
      <c r="E10" s="12" t="s">
        <v>26</v>
      </c>
      <c r="F10" s="13">
        <f>SUM(F8:F9)</f>
        <v>6700</v>
      </c>
      <c r="G10" s="13">
        <f t="shared" ref="G10:I10" si="1">SUM(G8:G9)</f>
        <v>0</v>
      </c>
      <c r="H10" s="13">
        <f t="shared" si="1"/>
        <v>22000</v>
      </c>
      <c r="I10" s="14">
        <f t="shared" si="1"/>
        <v>28700</v>
      </c>
    </row>
    <row r="11" spans="2:9" x14ac:dyDescent="0.3">
      <c r="B11" s="7" t="s">
        <v>7</v>
      </c>
      <c r="C11" s="106">
        <v>0.8</v>
      </c>
      <c r="E11" s="7"/>
      <c r="F11" s="8"/>
      <c r="G11" s="8"/>
      <c r="H11" s="8"/>
      <c r="I11" s="9"/>
    </row>
    <row r="12" spans="2:9" x14ac:dyDescent="0.3">
      <c r="B12" s="7" t="s">
        <v>8</v>
      </c>
      <c r="C12" s="104" t="s">
        <v>9</v>
      </c>
      <c r="E12" s="7" t="s">
        <v>18</v>
      </c>
      <c r="F12" s="27">
        <v>0</v>
      </c>
      <c r="G12" s="27">
        <v>0</v>
      </c>
      <c r="H12" s="27">
        <v>650000</v>
      </c>
      <c r="I12" s="27">
        <f>SUM(F12:H12)</f>
        <v>650000</v>
      </c>
    </row>
    <row r="13" spans="2:9" ht="16.2" x14ac:dyDescent="0.45">
      <c r="B13" s="12" t="s">
        <v>10</v>
      </c>
      <c r="C13" s="105"/>
      <c r="E13" s="7" t="s">
        <v>21</v>
      </c>
      <c r="F13" s="146">
        <v>0</v>
      </c>
      <c r="G13" s="146">
        <v>0</v>
      </c>
      <c r="H13" s="146">
        <v>0</v>
      </c>
      <c r="I13" s="146">
        <f>SUM(F13:H13)</f>
        <v>0</v>
      </c>
    </row>
    <row r="14" spans="2:9" x14ac:dyDescent="0.3">
      <c r="B14" s="7" t="s">
        <v>11</v>
      </c>
      <c r="C14" s="104" t="s">
        <v>12</v>
      </c>
      <c r="E14" s="12" t="s">
        <v>22</v>
      </c>
      <c r="F14" s="13">
        <f>SUM(F12:F13)</f>
        <v>0</v>
      </c>
      <c r="G14" s="13">
        <f t="shared" ref="G14:I14" si="2">SUM(G12:G13)</f>
        <v>0</v>
      </c>
      <c r="H14" s="13">
        <f t="shared" si="2"/>
        <v>650000</v>
      </c>
      <c r="I14" s="14">
        <f t="shared" si="2"/>
        <v>650000</v>
      </c>
    </row>
    <row r="15" spans="2:9" x14ac:dyDescent="0.3">
      <c r="B15" s="7" t="s">
        <v>13</v>
      </c>
      <c r="C15" s="104" t="s">
        <v>14</v>
      </c>
      <c r="E15" s="7"/>
      <c r="F15" s="8"/>
      <c r="G15" s="8"/>
      <c r="H15" s="8"/>
      <c r="I15" s="9"/>
    </row>
    <row r="16" spans="2:9" ht="15" thickBot="1" x14ac:dyDescent="0.35">
      <c r="B16" s="7" t="s">
        <v>15</v>
      </c>
      <c r="C16" s="106">
        <f>2/3</f>
        <v>0.66666666666666663</v>
      </c>
      <c r="E16" s="15" t="s">
        <v>29</v>
      </c>
      <c r="F16" s="16">
        <f>F6+F10+F14</f>
        <v>6700</v>
      </c>
      <c r="G16" s="16">
        <f t="shared" ref="G16:I16" si="3">G6+G10+G14</f>
        <v>0</v>
      </c>
      <c r="H16" s="16">
        <f t="shared" si="3"/>
        <v>674000</v>
      </c>
      <c r="I16" s="17">
        <f t="shared" si="3"/>
        <v>680700</v>
      </c>
    </row>
    <row r="17" spans="2:11" x14ac:dyDescent="0.3">
      <c r="B17" s="7" t="s">
        <v>13</v>
      </c>
      <c r="C17" s="104" t="s">
        <v>16</v>
      </c>
      <c r="E17" s="20" t="s">
        <v>30</v>
      </c>
      <c r="F17" s="21"/>
      <c r="G17" s="21"/>
      <c r="H17" s="21"/>
      <c r="I17" s="22"/>
    </row>
    <row r="18" spans="2:11" x14ac:dyDescent="0.3">
      <c r="B18" s="7"/>
      <c r="C18" s="105"/>
      <c r="E18" s="19" t="s">
        <v>31</v>
      </c>
      <c r="F18" s="8">
        <v>0</v>
      </c>
      <c r="G18" s="8">
        <v>0</v>
      </c>
      <c r="H18" s="27">
        <v>16000</v>
      </c>
      <c r="I18" s="9">
        <f>SUM(F18:H18)</f>
        <v>16000</v>
      </c>
    </row>
    <row r="19" spans="2:11" ht="16.2" x14ac:dyDescent="0.45">
      <c r="B19" s="7" t="s">
        <v>62</v>
      </c>
      <c r="C19" s="107">
        <v>25000</v>
      </c>
      <c r="E19" s="19" t="s">
        <v>32</v>
      </c>
      <c r="F19" s="10">
        <v>0</v>
      </c>
      <c r="G19" s="10">
        <v>0</v>
      </c>
      <c r="H19" s="10">
        <v>0</v>
      </c>
      <c r="I19" s="11">
        <f>SUM(F19:H19)</f>
        <v>0</v>
      </c>
    </row>
    <row r="20" spans="2:11" x14ac:dyDescent="0.3">
      <c r="B20" s="7" t="s">
        <v>63</v>
      </c>
      <c r="C20" s="108">
        <v>20000</v>
      </c>
      <c r="E20" s="18" t="s">
        <v>33</v>
      </c>
      <c r="F20" s="13">
        <f>SUM(F18:F19)</f>
        <v>0</v>
      </c>
      <c r="G20" s="13">
        <f t="shared" ref="G20:I20" si="4">SUM(G18:G19)</f>
        <v>0</v>
      </c>
      <c r="H20" s="13">
        <f t="shared" si="4"/>
        <v>16000</v>
      </c>
      <c r="I20" s="14">
        <f t="shared" si="4"/>
        <v>16000</v>
      </c>
    </row>
    <row r="21" spans="2:11" x14ac:dyDescent="0.3">
      <c r="B21" s="7"/>
      <c r="C21" s="105"/>
      <c r="E21" s="7"/>
      <c r="F21" s="8"/>
      <c r="G21" s="8"/>
      <c r="H21" s="8"/>
      <c r="I21" s="9"/>
    </row>
    <row r="22" spans="2:11" x14ac:dyDescent="0.3">
      <c r="B22" s="7" t="s">
        <v>70</v>
      </c>
      <c r="C22" s="109">
        <v>0.09</v>
      </c>
      <c r="E22" s="19" t="s">
        <v>34</v>
      </c>
      <c r="F22" s="8">
        <v>0</v>
      </c>
      <c r="G22" s="8">
        <v>0</v>
      </c>
      <c r="H22" s="27">
        <v>275000</v>
      </c>
      <c r="I22" s="9">
        <f>SUM(F22:H22)</f>
        <v>275000</v>
      </c>
    </row>
    <row r="23" spans="2:11" ht="16.2" x14ac:dyDescent="0.45">
      <c r="B23" s="7" t="s">
        <v>71</v>
      </c>
      <c r="C23" s="109">
        <v>0.01</v>
      </c>
      <c r="E23" s="19" t="s">
        <v>35</v>
      </c>
      <c r="F23" s="10">
        <v>0</v>
      </c>
      <c r="G23" s="10">
        <v>0</v>
      </c>
      <c r="H23" s="10">
        <v>0</v>
      </c>
      <c r="I23" s="11">
        <f>SUM(F23:H23)</f>
        <v>0</v>
      </c>
    </row>
    <row r="24" spans="2:11" x14ac:dyDescent="0.3">
      <c r="B24" s="7" t="s">
        <v>72</v>
      </c>
      <c r="C24" s="175">
        <f>C22-C23</f>
        <v>0.08</v>
      </c>
      <c r="E24" s="18" t="s">
        <v>36</v>
      </c>
      <c r="F24" s="13">
        <f>SUM(F22:F23)</f>
        <v>0</v>
      </c>
      <c r="G24" s="13">
        <f t="shared" ref="G24:I24" si="5">SUM(G22:G23)</f>
        <v>0</v>
      </c>
      <c r="H24" s="13">
        <f t="shared" si="5"/>
        <v>275000</v>
      </c>
      <c r="I24" s="14">
        <f t="shared" si="5"/>
        <v>275000</v>
      </c>
    </row>
    <row r="25" spans="2:11" x14ac:dyDescent="0.3">
      <c r="B25" s="7" t="s">
        <v>116</v>
      </c>
      <c r="C25" s="177">
        <f>(1+C24)/(1+C26)-1</f>
        <v>5.8823529411764719E-2</v>
      </c>
      <c r="E25" s="7"/>
      <c r="F25" s="23"/>
      <c r="G25" s="23"/>
      <c r="H25" s="23"/>
      <c r="I25" s="24"/>
    </row>
    <row r="26" spans="2:11" ht="15" thickBot="1" x14ac:dyDescent="0.35">
      <c r="B26" s="7" t="s">
        <v>65</v>
      </c>
      <c r="C26" s="106">
        <v>0.02</v>
      </c>
      <c r="E26" s="15" t="s">
        <v>37</v>
      </c>
      <c r="F26" s="25">
        <f>F20+F24</f>
        <v>0</v>
      </c>
      <c r="G26" s="25">
        <f t="shared" ref="G26:I26" si="6">G20+G24</f>
        <v>0</v>
      </c>
      <c r="H26" s="25">
        <f t="shared" si="6"/>
        <v>291000</v>
      </c>
      <c r="I26" s="26">
        <f t="shared" si="6"/>
        <v>291000</v>
      </c>
    </row>
    <row r="27" spans="2:11" ht="15" thickBot="1" x14ac:dyDescent="0.35">
      <c r="B27" s="7"/>
      <c r="C27" s="105"/>
      <c r="E27" s="20" t="s">
        <v>17</v>
      </c>
      <c r="F27" s="82">
        <f>F16-F26</f>
        <v>6700</v>
      </c>
      <c r="G27" s="82">
        <f t="shared" ref="G27:I27" si="7">G16-G26</f>
        <v>0</v>
      </c>
      <c r="H27" s="82">
        <f t="shared" si="7"/>
        <v>383000</v>
      </c>
      <c r="I27" s="83">
        <f t="shared" si="7"/>
        <v>389700</v>
      </c>
    </row>
    <row r="28" spans="2:11" x14ac:dyDescent="0.3">
      <c r="B28" s="7" t="s">
        <v>69</v>
      </c>
      <c r="C28" s="104">
        <v>65</v>
      </c>
      <c r="E28" s="28"/>
      <c r="F28" s="188" t="s">
        <v>39</v>
      </c>
      <c r="G28" s="188"/>
      <c r="H28" s="94" t="s">
        <v>20</v>
      </c>
      <c r="I28" s="188" t="s">
        <v>40</v>
      </c>
      <c r="J28" s="188"/>
      <c r="K28" s="94" t="s">
        <v>20</v>
      </c>
    </row>
    <row r="29" spans="2:11" x14ac:dyDescent="0.3">
      <c r="B29" s="7"/>
      <c r="C29" s="105"/>
      <c r="E29" s="18" t="s">
        <v>38</v>
      </c>
      <c r="F29" s="84" t="str">
        <f>F3</f>
        <v>Spouse 1</v>
      </c>
      <c r="G29" s="84" t="str">
        <f>G3</f>
        <v>Spouse 2</v>
      </c>
      <c r="H29" s="95" t="s">
        <v>39</v>
      </c>
      <c r="I29" s="84" t="str">
        <f>F29</f>
        <v>Spouse 1</v>
      </c>
      <c r="J29" s="84" t="str">
        <f>G29</f>
        <v>Spouse 2</v>
      </c>
      <c r="K29" s="95" t="s">
        <v>40</v>
      </c>
    </row>
    <row r="30" spans="2:11" x14ac:dyDescent="0.3">
      <c r="B30" s="7" t="s">
        <v>88</v>
      </c>
      <c r="C30" s="108">
        <v>13000</v>
      </c>
      <c r="E30" s="19" t="s">
        <v>41</v>
      </c>
      <c r="F30" s="85">
        <v>7083.33</v>
      </c>
      <c r="G30" s="93">
        <v>3333</v>
      </c>
      <c r="H30" s="96">
        <f>SUM(F30:G30)</f>
        <v>10416.33</v>
      </c>
      <c r="I30" s="37">
        <f>F30*12</f>
        <v>84999.959999999992</v>
      </c>
      <c r="J30" s="37">
        <f>G30*12</f>
        <v>39996</v>
      </c>
      <c r="K30" s="101">
        <f>I30+J30</f>
        <v>124995.95999999999</v>
      </c>
    </row>
    <row r="31" spans="2:11" x14ac:dyDescent="0.3">
      <c r="B31" s="7" t="s">
        <v>89</v>
      </c>
      <c r="C31" s="172">
        <v>4.4999999999999998E-2</v>
      </c>
      <c r="E31" s="18" t="s">
        <v>42</v>
      </c>
      <c r="F31" s="85">
        <v>-2267.5</v>
      </c>
      <c r="G31" s="93">
        <v>-846.58</v>
      </c>
      <c r="H31" s="96">
        <f t="shared" ref="H31:H33" si="8">SUM(F31:G31)</f>
        <v>-3114.08</v>
      </c>
      <c r="I31" s="37">
        <f t="shared" ref="I31:J33" si="9">F31*12</f>
        <v>-27210</v>
      </c>
      <c r="J31" s="37">
        <f t="shared" si="9"/>
        <v>-10158.960000000001</v>
      </c>
      <c r="K31" s="101">
        <f t="shared" ref="K31:K33" si="10">I31+J31</f>
        <v>-37368.959999999999</v>
      </c>
    </row>
    <row r="32" spans="2:11" x14ac:dyDescent="0.3">
      <c r="B32" s="7" t="s">
        <v>89</v>
      </c>
      <c r="C32" s="174">
        <f>(1+C24)/(1+C31)-1</f>
        <v>3.3492822966507241E-2</v>
      </c>
      <c r="E32" s="7"/>
      <c r="F32" s="37"/>
      <c r="G32" s="37"/>
      <c r="H32" s="96"/>
      <c r="I32" s="37"/>
      <c r="J32" s="37"/>
      <c r="K32" s="101"/>
    </row>
    <row r="33" spans="1:11" x14ac:dyDescent="0.3">
      <c r="B33" s="7" t="s">
        <v>95</v>
      </c>
      <c r="C33" s="104">
        <v>3</v>
      </c>
      <c r="E33" s="18" t="s">
        <v>43</v>
      </c>
      <c r="F33" s="37">
        <v>0</v>
      </c>
      <c r="G33" s="37">
        <v>0</v>
      </c>
      <c r="H33" s="96">
        <f t="shared" si="8"/>
        <v>0</v>
      </c>
      <c r="I33" s="37">
        <f t="shared" si="9"/>
        <v>0</v>
      </c>
      <c r="J33" s="37">
        <f t="shared" si="9"/>
        <v>0</v>
      </c>
      <c r="K33" s="101">
        <f t="shared" si="10"/>
        <v>0</v>
      </c>
    </row>
    <row r="34" spans="1:11" x14ac:dyDescent="0.3">
      <c r="E34" s="7"/>
      <c r="F34" s="37"/>
      <c r="G34" s="37"/>
      <c r="H34" s="96"/>
      <c r="I34" s="37"/>
      <c r="J34" s="37"/>
      <c r="K34" s="101"/>
    </row>
    <row r="35" spans="1:11" ht="16.2" x14ac:dyDescent="0.45">
      <c r="B35" s="7" t="s">
        <v>100</v>
      </c>
      <c r="C35" s="108">
        <v>10000</v>
      </c>
      <c r="E35" s="18" t="s">
        <v>44</v>
      </c>
      <c r="F35" s="87">
        <f>F30+F31+F33</f>
        <v>4815.83</v>
      </c>
      <c r="G35" s="87">
        <f t="shared" ref="G35:K35" si="11">G30+G31+G33</f>
        <v>2486.42</v>
      </c>
      <c r="H35" s="97">
        <f t="shared" si="11"/>
        <v>7302.25</v>
      </c>
      <c r="I35" s="87">
        <f t="shared" si="11"/>
        <v>57789.959999999992</v>
      </c>
      <c r="J35" s="87">
        <f t="shared" si="11"/>
        <v>29837.040000000001</v>
      </c>
      <c r="K35" s="97">
        <f t="shared" si="11"/>
        <v>87627</v>
      </c>
    </row>
    <row r="36" spans="1:11" x14ac:dyDescent="0.3">
      <c r="B36" s="7" t="s">
        <v>101</v>
      </c>
      <c r="C36" s="108">
        <v>12000</v>
      </c>
      <c r="E36" s="7"/>
      <c r="F36" s="37"/>
      <c r="G36" s="37"/>
      <c r="H36" s="96"/>
      <c r="I36" s="37"/>
      <c r="J36" s="37"/>
      <c r="K36" s="101"/>
    </row>
    <row r="37" spans="1:11" x14ac:dyDescent="0.3">
      <c r="B37" s="7" t="s">
        <v>20</v>
      </c>
      <c r="C37" s="111">
        <f>SUM(C35:C36)</f>
        <v>22000</v>
      </c>
      <c r="E37" s="7" t="s">
        <v>34</v>
      </c>
      <c r="F37" s="37"/>
      <c r="G37" s="180">
        <f>H37/$H$30</f>
        <v>0.16320527479448135</v>
      </c>
      <c r="H37" s="98">
        <v>1700</v>
      </c>
      <c r="I37" s="180">
        <f>H37/$H$35</f>
        <v>0.23280495737615117</v>
      </c>
      <c r="J37" s="37"/>
      <c r="K37" s="101">
        <f>H37*12</f>
        <v>20400</v>
      </c>
    </row>
    <row r="38" spans="1:11" x14ac:dyDescent="0.3">
      <c r="B38" s="7"/>
      <c r="C38" s="105"/>
      <c r="E38" s="7" t="s">
        <v>31</v>
      </c>
      <c r="F38" s="37"/>
      <c r="G38" s="180">
        <f t="shared" ref="G38:G40" si="12">H38/$H$30</f>
        <v>3.8401241128113259E-2</v>
      </c>
      <c r="H38" s="98">
        <v>400</v>
      </c>
      <c r="I38" s="180">
        <f t="shared" ref="I38:I40" si="13">H38/$H$35</f>
        <v>5.4777637029682635E-2</v>
      </c>
      <c r="J38" s="37"/>
      <c r="K38" s="101">
        <f t="shared" ref="K38:K39" si="14">H38*12</f>
        <v>4800</v>
      </c>
    </row>
    <row r="39" spans="1:11" ht="16.2" x14ac:dyDescent="0.45">
      <c r="B39" s="7"/>
      <c r="C39" s="105"/>
      <c r="E39" s="7" t="s">
        <v>45</v>
      </c>
      <c r="F39" s="37"/>
      <c r="G39" s="181">
        <f t="shared" si="12"/>
        <v>0</v>
      </c>
      <c r="H39" s="98">
        <v>0</v>
      </c>
      <c r="I39" s="181">
        <f t="shared" si="13"/>
        <v>0</v>
      </c>
      <c r="J39" s="37"/>
      <c r="K39" s="102">
        <f t="shared" si="14"/>
        <v>0</v>
      </c>
    </row>
    <row r="40" spans="1:11" x14ac:dyDescent="0.3">
      <c r="B40" s="7" t="s">
        <v>90</v>
      </c>
      <c r="C40" s="108">
        <v>100000</v>
      </c>
      <c r="E40" s="12" t="s">
        <v>46</v>
      </c>
      <c r="F40" s="37"/>
      <c r="G40" s="180">
        <f t="shared" si="12"/>
        <v>0.20160651592259463</v>
      </c>
      <c r="H40" s="99">
        <f>SUM(H37:H39)</f>
        <v>2100</v>
      </c>
      <c r="I40" s="184">
        <f t="shared" si="13"/>
        <v>0.28758259440583384</v>
      </c>
      <c r="J40" s="60"/>
      <c r="K40" s="99">
        <f>SUM(K37:K39)</f>
        <v>25200</v>
      </c>
    </row>
    <row r="41" spans="1:11" x14ac:dyDescent="0.3">
      <c r="B41" s="7" t="s">
        <v>90</v>
      </c>
      <c r="C41" s="108">
        <f>C40</f>
        <v>100000</v>
      </c>
      <c r="E41" s="7"/>
      <c r="F41" s="37"/>
      <c r="G41" s="182"/>
      <c r="H41" s="96"/>
      <c r="I41" s="182"/>
      <c r="J41" s="37"/>
      <c r="K41" s="101"/>
    </row>
    <row r="42" spans="1:11" ht="15" thickBot="1" x14ac:dyDescent="0.35">
      <c r="B42" s="43"/>
      <c r="C42" s="112">
        <f>SUM(C40:C41)</f>
        <v>200000</v>
      </c>
      <c r="E42" s="7" t="s">
        <v>47</v>
      </c>
      <c r="F42" s="37"/>
      <c r="G42" s="180">
        <f>H42/$H$30</f>
        <v>3.1969033239154288E-2</v>
      </c>
      <c r="H42" s="98">
        <v>333</v>
      </c>
      <c r="I42" s="180">
        <f>H42/$H$35</f>
        <v>4.560238282721079E-2</v>
      </c>
      <c r="J42" s="23"/>
      <c r="K42" s="101">
        <f>H42*12</f>
        <v>3996</v>
      </c>
    </row>
    <row r="43" spans="1:11" x14ac:dyDescent="0.3">
      <c r="E43" s="7" t="s">
        <v>48</v>
      </c>
      <c r="F43" s="37"/>
      <c r="G43" s="180">
        <f t="shared" ref="G43:G60" si="15">H43/$H$30</f>
        <v>2.8800930846084944E-2</v>
      </c>
      <c r="H43" s="98">
        <v>300</v>
      </c>
      <c r="I43" s="180">
        <f t="shared" ref="I43:I45" si="16">H43/$H$35</f>
        <v>4.1083227772261977E-2</v>
      </c>
      <c r="J43" s="23"/>
      <c r="K43" s="101">
        <f t="shared" ref="K43:K44" si="17">H43*12</f>
        <v>3600</v>
      </c>
    </row>
    <row r="44" spans="1:11" ht="16.2" x14ac:dyDescent="0.45">
      <c r="B44" t="s">
        <v>115</v>
      </c>
      <c r="C44" s="1">
        <v>20</v>
      </c>
      <c r="D44">
        <v>12</v>
      </c>
      <c r="E44" s="7" t="s">
        <v>49</v>
      </c>
      <c r="F44" s="37"/>
      <c r="G44" s="181">
        <f t="shared" si="15"/>
        <v>0.12000387852535394</v>
      </c>
      <c r="H44" s="98">
        <v>1250</v>
      </c>
      <c r="I44" s="181">
        <f t="shared" si="16"/>
        <v>0.17118011571775824</v>
      </c>
      <c r="J44" s="23"/>
      <c r="K44" s="102">
        <f t="shared" si="17"/>
        <v>15000</v>
      </c>
    </row>
    <row r="45" spans="1:11" x14ac:dyDescent="0.3">
      <c r="B45" t="s">
        <v>113</v>
      </c>
      <c r="E45" s="12" t="s">
        <v>50</v>
      </c>
      <c r="F45" s="41"/>
      <c r="G45" s="180">
        <f t="shared" si="15"/>
        <v>0.18077384261059318</v>
      </c>
      <c r="H45" s="99">
        <f>SUM(H42:H44)</f>
        <v>1883</v>
      </c>
      <c r="I45" s="184">
        <f t="shared" si="16"/>
        <v>0.25786572631723098</v>
      </c>
      <c r="J45" s="60"/>
      <c r="K45" s="99">
        <f>SUM(K42:K44)</f>
        <v>22596</v>
      </c>
    </row>
    <row r="46" spans="1:11" x14ac:dyDescent="0.3">
      <c r="A46">
        <v>1</v>
      </c>
      <c r="B46" t="s">
        <v>73</v>
      </c>
      <c r="C46" s="1">
        <f>C44*D44</f>
        <v>240</v>
      </c>
      <c r="E46" s="7"/>
      <c r="F46" s="37"/>
      <c r="G46" s="182"/>
      <c r="H46" s="96"/>
      <c r="I46" s="182"/>
      <c r="J46" s="23"/>
      <c r="K46" s="103"/>
    </row>
    <row r="47" spans="1:11" x14ac:dyDescent="0.3">
      <c r="B47" t="s">
        <v>74</v>
      </c>
      <c r="C47" s="157">
        <v>0.04</v>
      </c>
      <c r="E47" s="7" t="s">
        <v>51</v>
      </c>
      <c r="F47" s="37"/>
      <c r="G47" s="180">
        <f t="shared" si="15"/>
        <v>4.8001551410141577E-2</v>
      </c>
      <c r="H47" s="98">
        <v>500</v>
      </c>
      <c r="I47" s="180">
        <f>H47/$H$35</f>
        <v>6.8472046287103294E-2</v>
      </c>
      <c r="J47" s="23"/>
      <c r="K47" s="101">
        <f t="shared" ref="K47:K48" si="18">H47*12</f>
        <v>6000</v>
      </c>
    </row>
    <row r="48" spans="1:11" ht="16.2" x14ac:dyDescent="0.45">
      <c r="B48" t="s">
        <v>93</v>
      </c>
      <c r="C48" s="155">
        <v>-380815.44153992401</v>
      </c>
      <c r="E48" s="7" t="s">
        <v>52</v>
      </c>
      <c r="F48" s="37"/>
      <c r="G48" s="181">
        <f t="shared" si="15"/>
        <v>1.9200620564056629E-2</v>
      </c>
      <c r="H48" s="98">
        <v>200</v>
      </c>
      <c r="I48" s="181">
        <f t="shared" ref="I48:I52" si="19">H48/$H$35</f>
        <v>2.7388818514841318E-2</v>
      </c>
      <c r="J48" s="23"/>
      <c r="K48" s="102">
        <f t="shared" si="18"/>
        <v>2400</v>
      </c>
    </row>
    <row r="49" spans="2:11" x14ac:dyDescent="0.3">
      <c r="B49" t="s">
        <v>76</v>
      </c>
      <c r="C49" s="1">
        <v>0</v>
      </c>
      <c r="E49" s="12" t="s">
        <v>53</v>
      </c>
      <c r="F49" s="60"/>
      <c r="G49" s="180">
        <f t="shared" si="15"/>
        <v>6.7202171974198213E-2</v>
      </c>
      <c r="H49" s="99">
        <f>SUM(H47:H48)</f>
        <v>700</v>
      </c>
      <c r="I49" s="184">
        <f t="shared" si="19"/>
        <v>9.5860864801944612E-2</v>
      </c>
      <c r="J49" s="23"/>
      <c r="K49" s="99">
        <f>SUM(K46:K48)</f>
        <v>8400</v>
      </c>
    </row>
    <row r="50" spans="2:11" x14ac:dyDescent="0.3">
      <c r="B50" t="s">
        <v>114</v>
      </c>
      <c r="C50" s="156">
        <f>PMT(C47/D44,C46,C48,C49,A46)</f>
        <v>2300</v>
      </c>
      <c r="E50" s="7"/>
      <c r="F50" s="37"/>
      <c r="G50" s="182"/>
      <c r="H50" s="96"/>
      <c r="I50" s="182"/>
      <c r="J50" s="23"/>
      <c r="K50" s="103"/>
    </row>
    <row r="51" spans="2:11" ht="16.2" x14ac:dyDescent="0.45">
      <c r="E51" s="7" t="s">
        <v>54</v>
      </c>
      <c r="F51" s="37"/>
      <c r="G51" s="181">
        <f t="shared" si="15"/>
        <v>7.9970584649295864E-2</v>
      </c>
      <c r="H51" s="98">
        <v>833</v>
      </c>
      <c r="I51" s="181">
        <f t="shared" si="19"/>
        <v>0.11407442911431408</v>
      </c>
      <c r="J51" s="23"/>
      <c r="K51" s="102">
        <f t="shared" ref="K51" si="20">H51*12</f>
        <v>9996</v>
      </c>
    </row>
    <row r="52" spans="2:11" x14ac:dyDescent="0.3">
      <c r="E52" s="12" t="s">
        <v>55</v>
      </c>
      <c r="F52" s="60"/>
      <c r="G52" s="180">
        <f t="shared" si="15"/>
        <v>7.9970584649295864E-2</v>
      </c>
      <c r="H52" s="99">
        <f>SUM(H51)</f>
        <v>833</v>
      </c>
      <c r="I52" s="184">
        <f t="shared" si="19"/>
        <v>0.11407442911431408</v>
      </c>
      <c r="J52" s="23"/>
      <c r="K52" s="99">
        <f>SUM(K51)</f>
        <v>9996</v>
      </c>
    </row>
    <row r="53" spans="2:11" x14ac:dyDescent="0.3">
      <c r="E53" s="7"/>
      <c r="F53" s="37"/>
      <c r="G53" s="182"/>
      <c r="H53" s="96"/>
      <c r="I53" s="182"/>
      <c r="J53" s="23"/>
      <c r="K53" s="103"/>
    </row>
    <row r="54" spans="2:11" x14ac:dyDescent="0.3">
      <c r="E54" s="7" t="s">
        <v>56</v>
      </c>
      <c r="F54" s="37"/>
      <c r="G54" s="180">
        <f t="shared" si="15"/>
        <v>3.8401241128113259E-2</v>
      </c>
      <c r="H54" s="98">
        <v>400</v>
      </c>
      <c r="I54" s="180">
        <f>H54/$H$35</f>
        <v>5.4777637029682635E-2</v>
      </c>
      <c r="J54" s="23"/>
      <c r="K54" s="101">
        <f t="shared" ref="K54:K55" si="21">H54*12</f>
        <v>4800</v>
      </c>
    </row>
    <row r="55" spans="2:11" ht="16.2" x14ac:dyDescent="0.45">
      <c r="E55" s="7" t="s">
        <v>57</v>
      </c>
      <c r="F55" s="37"/>
      <c r="G55" s="181">
        <f t="shared" si="15"/>
        <v>4.0033293876058078E-2</v>
      </c>
      <c r="H55" s="98">
        <v>417</v>
      </c>
      <c r="I55" s="181">
        <f t="shared" ref="I55:I56" si="22">H55/$H$35</f>
        <v>5.7105686603444145E-2</v>
      </c>
      <c r="J55" s="23"/>
      <c r="K55" s="102">
        <f t="shared" si="21"/>
        <v>5004</v>
      </c>
    </row>
    <row r="56" spans="2:11" x14ac:dyDescent="0.3">
      <c r="E56" s="12" t="s">
        <v>58</v>
      </c>
      <c r="F56" s="37"/>
      <c r="G56" s="180">
        <f t="shared" si="15"/>
        <v>7.843453500417133E-2</v>
      </c>
      <c r="H56" s="99">
        <f>SUM(H54:H55)</f>
        <v>817</v>
      </c>
      <c r="I56" s="184">
        <f t="shared" si="22"/>
        <v>0.11188332363312678</v>
      </c>
      <c r="J56" s="23"/>
      <c r="K56" s="99">
        <f>SUM(K53:K55)</f>
        <v>9804</v>
      </c>
    </row>
    <row r="57" spans="2:11" x14ac:dyDescent="0.3">
      <c r="E57" s="7"/>
      <c r="F57" s="37"/>
      <c r="G57" s="182"/>
      <c r="H57" s="96"/>
      <c r="I57" s="182"/>
      <c r="J57" s="23"/>
      <c r="K57" s="103"/>
    </row>
    <row r="58" spans="2:11" ht="16.2" x14ac:dyDescent="0.45">
      <c r="E58" s="12" t="s">
        <v>59</v>
      </c>
      <c r="F58" s="37"/>
      <c r="G58" s="183">
        <f t="shared" si="15"/>
        <v>0.60798765016085321</v>
      </c>
      <c r="H58" s="97">
        <f>H40+H45+H49+H52+H56</f>
        <v>6333</v>
      </c>
      <c r="I58" s="185">
        <f>H58/$H$35</f>
        <v>0.86726693827245027</v>
      </c>
      <c r="J58" s="90"/>
      <c r="K58" s="97">
        <f>K40+K45+K49+K52+K56</f>
        <v>75996</v>
      </c>
    </row>
    <row r="59" spans="2:11" x14ac:dyDescent="0.3">
      <c r="E59" s="7"/>
      <c r="F59" s="37"/>
      <c r="G59" s="37"/>
      <c r="H59" s="96"/>
      <c r="I59" s="182"/>
      <c r="J59" s="23"/>
      <c r="K59" s="103"/>
    </row>
    <row r="60" spans="2:11" ht="16.8" thickBot="1" x14ac:dyDescent="0.5">
      <c r="E60" s="15" t="s">
        <v>60</v>
      </c>
      <c r="F60" s="46"/>
      <c r="G60" s="154">
        <f t="shared" si="15"/>
        <v>9.3051007408559441E-2</v>
      </c>
      <c r="H60" s="100">
        <f>H35-H58</f>
        <v>969.25</v>
      </c>
      <c r="I60" s="153">
        <f>H60/$H$35</f>
        <v>0.13273306172754973</v>
      </c>
      <c r="J60" s="92"/>
      <c r="K60" s="100">
        <f>K35-K58</f>
        <v>11631</v>
      </c>
    </row>
    <row r="61" spans="2:11" ht="15" thickBot="1" x14ac:dyDescent="0.35">
      <c r="F61" s="3"/>
      <c r="G61" s="3"/>
      <c r="H61" s="3"/>
      <c r="I61" s="3"/>
    </row>
    <row r="62" spans="2:11" ht="15" thickBot="1" x14ac:dyDescent="0.35">
      <c r="D62" s="28"/>
      <c r="E62" s="50"/>
      <c r="F62" s="32"/>
      <c r="G62" s="62"/>
      <c r="H62" s="3"/>
      <c r="I62" s="3"/>
    </row>
    <row r="63" spans="2:11" x14ac:dyDescent="0.3">
      <c r="B63" s="28"/>
      <c r="C63" s="29"/>
      <c r="D63" s="28"/>
      <c r="E63" s="57" t="s">
        <v>61</v>
      </c>
      <c r="F63" s="58" t="str">
        <f>F3</f>
        <v>Spouse 1</v>
      </c>
      <c r="G63" s="126" t="str">
        <f>G3</f>
        <v>Spouse 2</v>
      </c>
      <c r="H63" s="75"/>
      <c r="I63" s="75"/>
      <c r="J63" s="76"/>
    </row>
    <row r="64" spans="2:11" x14ac:dyDescent="0.3">
      <c r="B64" s="7"/>
      <c r="C64" s="34"/>
      <c r="D64" s="7"/>
      <c r="E64" s="23" t="s">
        <v>34</v>
      </c>
      <c r="F64" s="37">
        <f>I22</f>
        <v>275000</v>
      </c>
      <c r="G64" s="96">
        <f>F64</f>
        <v>275000</v>
      </c>
      <c r="H64" s="77"/>
      <c r="I64" s="77"/>
      <c r="J64" s="72"/>
    </row>
    <row r="65" spans="2:10" x14ac:dyDescent="0.3">
      <c r="B65" s="7"/>
      <c r="C65" s="34"/>
      <c r="D65" s="7"/>
      <c r="E65" s="23" t="s">
        <v>31</v>
      </c>
      <c r="F65" s="37">
        <f>I18</f>
        <v>16000</v>
      </c>
      <c r="G65" s="96">
        <f>F65</f>
        <v>16000</v>
      </c>
      <c r="H65" s="77"/>
      <c r="I65" s="77"/>
      <c r="J65" s="72"/>
    </row>
    <row r="66" spans="2:10" x14ac:dyDescent="0.3">
      <c r="B66" s="7"/>
      <c r="C66" s="34"/>
      <c r="D66" s="7"/>
      <c r="E66" s="23" t="s">
        <v>62</v>
      </c>
      <c r="F66" s="37">
        <f>C19</f>
        <v>25000</v>
      </c>
      <c r="G66" s="96">
        <f>F66</f>
        <v>25000</v>
      </c>
      <c r="H66" s="77"/>
      <c r="I66" s="77"/>
      <c r="J66" s="72"/>
    </row>
    <row r="67" spans="2:10" ht="16.2" x14ac:dyDescent="0.45">
      <c r="B67" s="7"/>
      <c r="C67" s="34"/>
      <c r="D67" s="7"/>
      <c r="E67" s="23" t="s">
        <v>63</v>
      </c>
      <c r="F67" s="59">
        <f>C20</f>
        <v>20000</v>
      </c>
      <c r="G67" s="127">
        <f>F67</f>
        <v>20000</v>
      </c>
      <c r="H67" s="77"/>
      <c r="I67" s="77"/>
      <c r="J67" s="72"/>
    </row>
    <row r="68" spans="2:10" x14ac:dyDescent="0.3">
      <c r="B68" s="7"/>
      <c r="C68" s="34"/>
      <c r="D68" s="7"/>
      <c r="E68" s="41" t="s">
        <v>64</v>
      </c>
      <c r="F68" s="60">
        <f>SUM(F64:F67)</f>
        <v>336000</v>
      </c>
      <c r="G68" s="99">
        <f>SUM(G64:G67)</f>
        <v>336000</v>
      </c>
      <c r="H68" s="77"/>
      <c r="I68" s="77"/>
      <c r="J68" s="72"/>
    </row>
    <row r="69" spans="2:10" x14ac:dyDescent="0.3">
      <c r="B69" s="7"/>
      <c r="C69" s="34"/>
      <c r="D69" s="7"/>
      <c r="E69" s="23"/>
      <c r="F69" s="37"/>
      <c r="G69" s="96"/>
      <c r="H69" s="77"/>
      <c r="I69" s="77"/>
      <c r="J69" s="72"/>
    </row>
    <row r="70" spans="2:10" x14ac:dyDescent="0.3">
      <c r="B70" s="7"/>
      <c r="C70" s="34"/>
      <c r="D70" s="70">
        <v>0.9</v>
      </c>
      <c r="E70" s="23" t="s">
        <v>66</v>
      </c>
      <c r="F70" s="37">
        <f>H42+H43+H44*D70</f>
        <v>1758</v>
      </c>
      <c r="G70" s="96"/>
      <c r="H70" s="77"/>
      <c r="I70" s="77"/>
      <c r="J70" s="72"/>
    </row>
    <row r="71" spans="2:10" ht="16.2" x14ac:dyDescent="0.45">
      <c r="B71" s="7"/>
      <c r="C71" s="34"/>
      <c r="D71" s="7"/>
      <c r="E71" s="23" t="s">
        <v>67</v>
      </c>
      <c r="F71" s="59">
        <f>H47</f>
        <v>500</v>
      </c>
      <c r="G71" s="96"/>
      <c r="H71" s="77"/>
      <c r="I71" s="77"/>
      <c r="J71" s="72"/>
    </row>
    <row r="72" spans="2:10" ht="15" thickBot="1" x14ac:dyDescent="0.35">
      <c r="B72" s="43"/>
      <c r="C72" s="48"/>
      <c r="D72" s="43"/>
      <c r="E72" s="44"/>
      <c r="F72" s="46">
        <f>SUM(F70:F71)</f>
        <v>2258</v>
      </c>
      <c r="G72" s="128"/>
      <c r="H72" s="78"/>
      <c r="I72" s="78"/>
      <c r="J72" s="74"/>
    </row>
    <row r="73" spans="2:10" ht="28.8" x14ac:dyDescent="0.3">
      <c r="B73" s="28"/>
      <c r="C73" s="29" t="s">
        <v>82</v>
      </c>
      <c r="D73" s="50">
        <f>C28</f>
        <v>65</v>
      </c>
      <c r="E73" s="31" t="s">
        <v>84</v>
      </c>
      <c r="F73" s="32"/>
      <c r="G73" s="129"/>
      <c r="H73" s="75"/>
      <c r="I73" s="75"/>
      <c r="J73" s="76"/>
    </row>
    <row r="74" spans="2:10" x14ac:dyDescent="0.3">
      <c r="B74" s="7" t="s">
        <v>83</v>
      </c>
      <c r="C74" s="34" t="str">
        <f>B3</f>
        <v>Spouse 1</v>
      </c>
      <c r="D74" s="23">
        <f>C28-C3</f>
        <v>32</v>
      </c>
      <c r="E74" s="23" t="s">
        <v>68</v>
      </c>
      <c r="F74" s="37"/>
      <c r="G74" s="96"/>
      <c r="H74" s="77"/>
      <c r="I74" s="77"/>
      <c r="J74" s="72"/>
    </row>
    <row r="75" spans="2:10" x14ac:dyDescent="0.3">
      <c r="B75" s="7"/>
      <c r="C75" s="34" t="s">
        <v>78</v>
      </c>
      <c r="D75" s="35">
        <v>12</v>
      </c>
      <c r="E75" s="23" t="s">
        <v>73</v>
      </c>
      <c r="F75" s="36">
        <f>D74*D75</f>
        <v>384</v>
      </c>
      <c r="G75" s="96"/>
      <c r="H75" s="77"/>
      <c r="I75" s="77"/>
      <c r="J75" s="72"/>
    </row>
    <row r="76" spans="2:10" x14ac:dyDescent="0.3">
      <c r="B76" s="7"/>
      <c r="C76" s="34" t="s">
        <v>79</v>
      </c>
      <c r="D76" s="23"/>
      <c r="E76" s="23" t="s">
        <v>74</v>
      </c>
      <c r="F76" s="178">
        <f>C25</f>
        <v>5.8823529411764719E-2</v>
      </c>
      <c r="G76" s="96" t="s">
        <v>122</v>
      </c>
      <c r="H76" s="77"/>
      <c r="I76" s="77"/>
      <c r="J76" s="72"/>
    </row>
    <row r="77" spans="2:10" x14ac:dyDescent="0.3">
      <c r="B77" s="7"/>
      <c r="C77" s="34" t="s">
        <v>80</v>
      </c>
      <c r="D77" s="35">
        <v>0</v>
      </c>
      <c r="E77" s="23" t="s">
        <v>75</v>
      </c>
      <c r="F77" s="37">
        <f>-F72</f>
        <v>-2258</v>
      </c>
      <c r="G77" s="96"/>
      <c r="H77" s="77"/>
      <c r="I77" s="77"/>
      <c r="J77" s="72"/>
    </row>
    <row r="78" spans="2:10" x14ac:dyDescent="0.3">
      <c r="B78" s="7"/>
      <c r="C78" s="34" t="s">
        <v>81</v>
      </c>
      <c r="D78" s="35">
        <v>1</v>
      </c>
      <c r="E78" s="23" t="s">
        <v>76</v>
      </c>
      <c r="F78" s="37">
        <v>0</v>
      </c>
      <c r="G78" s="96"/>
      <c r="H78" s="77"/>
      <c r="I78" s="77"/>
      <c r="J78" s="72"/>
    </row>
    <row r="79" spans="2:10" ht="15" thickBot="1" x14ac:dyDescent="0.35">
      <c r="B79" s="43"/>
      <c r="C79" s="48"/>
      <c r="D79" s="44"/>
      <c r="E79" s="45" t="s">
        <v>77</v>
      </c>
      <c r="F79" s="49">
        <f>PV(F76/12,F75,F77,F78,D77)</f>
        <v>390186.09526223625</v>
      </c>
      <c r="G79" s="128"/>
      <c r="H79" s="78"/>
      <c r="I79" s="78"/>
      <c r="J79" s="74"/>
    </row>
    <row r="80" spans="2:10" x14ac:dyDescent="0.3">
      <c r="B80" s="28" t="s">
        <v>85</v>
      </c>
      <c r="C80" s="29" t="s">
        <v>2</v>
      </c>
      <c r="D80" s="30">
        <v>14</v>
      </c>
      <c r="E80" s="31" t="s">
        <v>2</v>
      </c>
      <c r="F80" s="32"/>
      <c r="G80" s="129"/>
      <c r="H80" s="75"/>
      <c r="I80" s="75"/>
      <c r="J80" s="76"/>
    </row>
    <row r="81" spans="2:10" x14ac:dyDescent="0.3">
      <c r="B81" s="7"/>
      <c r="C81" s="34" t="s">
        <v>78</v>
      </c>
      <c r="D81" s="35">
        <v>1</v>
      </c>
      <c r="E81" s="23" t="s">
        <v>73</v>
      </c>
      <c r="F81" s="36">
        <f>D80-C6</f>
        <v>5</v>
      </c>
      <c r="G81" s="96"/>
      <c r="H81" s="77"/>
      <c r="I81" s="77"/>
      <c r="J81" s="72"/>
    </row>
    <row r="82" spans="2:10" x14ac:dyDescent="0.3">
      <c r="B82" s="7"/>
      <c r="C82" s="34"/>
      <c r="D82" s="23"/>
      <c r="E82" s="23" t="s">
        <v>74</v>
      </c>
      <c r="F82" s="178">
        <f>F76</f>
        <v>5.8823529411764719E-2</v>
      </c>
      <c r="G82" s="96" t="s">
        <v>122</v>
      </c>
      <c r="H82" s="71"/>
      <c r="I82" s="71"/>
      <c r="J82" s="72"/>
    </row>
    <row r="83" spans="2:10" x14ac:dyDescent="0.3">
      <c r="B83" s="7"/>
      <c r="C83" s="34"/>
      <c r="D83" s="23"/>
      <c r="E83" s="23" t="s">
        <v>75</v>
      </c>
      <c r="F83" s="37">
        <f>-K52/2</f>
        <v>-4998</v>
      </c>
      <c r="G83" s="96"/>
      <c r="H83" s="71"/>
      <c r="I83" s="71"/>
      <c r="J83" s="72"/>
    </row>
    <row r="84" spans="2:10" x14ac:dyDescent="0.3">
      <c r="B84" s="7"/>
      <c r="C84" s="34"/>
      <c r="D84" s="23"/>
      <c r="E84" s="23" t="s">
        <v>76</v>
      </c>
      <c r="F84" s="37">
        <v>0</v>
      </c>
      <c r="G84" s="96"/>
      <c r="H84" s="71"/>
      <c r="I84" s="71"/>
      <c r="J84" s="72"/>
    </row>
    <row r="85" spans="2:10" ht="15" thickBot="1" x14ac:dyDescent="0.35">
      <c r="B85" s="43"/>
      <c r="C85" s="48"/>
      <c r="D85" s="44"/>
      <c r="E85" s="45" t="s">
        <v>77</v>
      </c>
      <c r="F85" s="49">
        <f>PV(F82/D81,F81,F83,F84,D77)</f>
        <v>21120.946600492822</v>
      </c>
      <c r="G85" s="128"/>
      <c r="H85" s="73"/>
      <c r="I85" s="73"/>
      <c r="J85" s="74"/>
    </row>
    <row r="86" spans="2:10" x14ac:dyDescent="0.3">
      <c r="B86" s="28" t="s">
        <v>85</v>
      </c>
      <c r="C86" s="29" t="s">
        <v>3</v>
      </c>
      <c r="D86" s="50">
        <f>D80</f>
        <v>14</v>
      </c>
      <c r="E86" s="31" t="s">
        <v>3</v>
      </c>
      <c r="F86" s="32"/>
      <c r="G86" s="129"/>
      <c r="H86" s="79"/>
      <c r="I86" s="79"/>
      <c r="J86" s="76"/>
    </row>
    <row r="87" spans="2:10" x14ac:dyDescent="0.3">
      <c r="B87" s="7"/>
      <c r="C87" s="34" t="s">
        <v>78</v>
      </c>
      <c r="D87" s="23">
        <v>1</v>
      </c>
      <c r="E87" s="23" t="s">
        <v>73</v>
      </c>
      <c r="F87" s="36">
        <f>D86-C7</f>
        <v>4</v>
      </c>
      <c r="G87" s="96"/>
      <c r="H87" s="71"/>
      <c r="I87" s="71"/>
      <c r="J87" s="72"/>
    </row>
    <row r="88" spans="2:10" x14ac:dyDescent="0.3">
      <c r="B88" s="7"/>
      <c r="C88" s="34"/>
      <c r="D88" s="23"/>
      <c r="E88" s="23" t="s">
        <v>74</v>
      </c>
      <c r="F88" s="178">
        <f>F82</f>
        <v>5.8823529411764719E-2</v>
      </c>
      <c r="G88" s="96" t="s">
        <v>122</v>
      </c>
      <c r="H88" s="71"/>
      <c r="I88" s="71"/>
      <c r="J88" s="72"/>
    </row>
    <row r="89" spans="2:10" x14ac:dyDescent="0.3">
      <c r="B89" s="7"/>
      <c r="C89" s="34"/>
      <c r="D89" s="23"/>
      <c r="E89" s="23" t="s">
        <v>75</v>
      </c>
      <c r="F89" s="37">
        <f>F83</f>
        <v>-4998</v>
      </c>
      <c r="G89" s="96"/>
      <c r="H89" s="71"/>
      <c r="I89" s="71"/>
      <c r="J89" s="72"/>
    </row>
    <row r="90" spans="2:10" x14ac:dyDescent="0.3">
      <c r="B90" s="7"/>
      <c r="C90" s="34"/>
      <c r="D90" s="23"/>
      <c r="E90" s="23" t="s">
        <v>76</v>
      </c>
      <c r="F90" s="37">
        <v>0</v>
      </c>
      <c r="G90" s="96"/>
      <c r="H90" s="71"/>
      <c r="I90" s="71"/>
      <c r="J90" s="72"/>
    </row>
    <row r="91" spans="2:10" ht="15" thickBot="1" x14ac:dyDescent="0.35">
      <c r="B91" s="7"/>
      <c r="C91" s="34"/>
      <c r="D91" s="23"/>
      <c r="E91" s="41" t="s">
        <v>77</v>
      </c>
      <c r="F91" s="42">
        <f>PV(F88/D87,F87,F89,F90,D77)</f>
        <v>17365.355224051222</v>
      </c>
      <c r="G91" s="96"/>
      <c r="H91" s="71"/>
      <c r="I91" s="71"/>
      <c r="J91" s="72"/>
    </row>
    <row r="92" spans="2:10" ht="15" thickBot="1" x14ac:dyDescent="0.35">
      <c r="B92" s="52"/>
      <c r="C92" s="53"/>
      <c r="D92" s="54"/>
      <c r="E92" s="55" t="s">
        <v>86</v>
      </c>
      <c r="F92" s="56">
        <f>F79+F85+F91</f>
        <v>428672.39708678029</v>
      </c>
      <c r="G92" s="130">
        <f>F92</f>
        <v>428672.39708678029</v>
      </c>
      <c r="H92" s="80"/>
      <c r="I92" s="80"/>
      <c r="J92" s="81"/>
    </row>
    <row r="93" spans="2:10" ht="15" thickBot="1" x14ac:dyDescent="0.35">
      <c r="G93" s="103"/>
    </row>
    <row r="94" spans="2:10" x14ac:dyDescent="0.3">
      <c r="B94" s="4" t="s">
        <v>87</v>
      </c>
      <c r="C94" s="61" t="s">
        <v>91</v>
      </c>
      <c r="D94" s="30">
        <v>18</v>
      </c>
      <c r="E94" s="31" t="s">
        <v>2</v>
      </c>
      <c r="F94" s="32"/>
      <c r="G94" s="129"/>
      <c r="H94" s="188" t="s">
        <v>96</v>
      </c>
      <c r="I94" s="188"/>
      <c r="J94" s="33"/>
    </row>
    <row r="95" spans="2:10" x14ac:dyDescent="0.3">
      <c r="B95" s="7"/>
      <c r="C95" s="63" t="s">
        <v>78</v>
      </c>
      <c r="D95" s="35">
        <v>1</v>
      </c>
      <c r="E95" s="23" t="s">
        <v>73</v>
      </c>
      <c r="F95" s="36">
        <f>C33</f>
        <v>3</v>
      </c>
      <c r="G95" s="96"/>
      <c r="H95" s="23" t="s">
        <v>73</v>
      </c>
      <c r="I95" s="36">
        <f>D94-C6</f>
        <v>9</v>
      </c>
      <c r="J95" s="38"/>
    </row>
    <row r="96" spans="2:10" x14ac:dyDescent="0.3">
      <c r="B96" s="7"/>
      <c r="C96" s="63" t="s">
        <v>81</v>
      </c>
      <c r="D96" s="166">
        <v>1</v>
      </c>
      <c r="E96" s="23" t="s">
        <v>74</v>
      </c>
      <c r="F96" s="173">
        <f>C32</f>
        <v>3.3492822966507241E-2</v>
      </c>
      <c r="G96" s="96" t="s">
        <v>118</v>
      </c>
      <c r="H96" s="23" t="s">
        <v>74</v>
      </c>
      <c r="I96" s="171">
        <f>C31</f>
        <v>4.4999999999999998E-2</v>
      </c>
      <c r="J96" s="38" t="s">
        <v>40</v>
      </c>
    </row>
    <row r="97" spans="2:10" x14ac:dyDescent="0.3">
      <c r="B97" s="7"/>
      <c r="C97" s="63"/>
      <c r="D97" s="23"/>
      <c r="E97" s="23" t="s">
        <v>75</v>
      </c>
      <c r="F97" s="40">
        <f>I99</f>
        <v>-19319.236825385306</v>
      </c>
      <c r="G97" s="96"/>
      <c r="H97" s="23" t="s">
        <v>93</v>
      </c>
      <c r="I97" s="37">
        <f>C30</f>
        <v>13000</v>
      </c>
      <c r="J97" s="38"/>
    </row>
    <row r="98" spans="2:10" x14ac:dyDescent="0.3">
      <c r="B98" s="7"/>
      <c r="C98" s="63"/>
      <c r="D98" s="23"/>
      <c r="E98" s="23" t="s">
        <v>76</v>
      </c>
      <c r="F98" s="124">
        <v>0</v>
      </c>
      <c r="G98" s="96"/>
      <c r="H98" s="23" t="s">
        <v>75</v>
      </c>
      <c r="I98" s="37">
        <v>0</v>
      </c>
      <c r="J98" s="38"/>
    </row>
    <row r="99" spans="2:10" ht="15" thickBot="1" x14ac:dyDescent="0.35">
      <c r="B99" s="7"/>
      <c r="C99" s="64" t="s">
        <v>109</v>
      </c>
      <c r="D99" s="44"/>
      <c r="E99" s="45" t="s">
        <v>77</v>
      </c>
      <c r="F99" s="49">
        <f>PV(F96/D95,F95,F97,F98,D96)</f>
        <v>56099.741176698124</v>
      </c>
      <c r="G99" s="128" t="s">
        <v>120</v>
      </c>
      <c r="H99" s="45" t="s">
        <v>94</v>
      </c>
      <c r="I99" s="49">
        <f>FV(I96/D95,I95,I98,I97)</f>
        <v>-19319.236825385306</v>
      </c>
      <c r="J99" s="65"/>
    </row>
    <row r="100" spans="2:10" x14ac:dyDescent="0.3">
      <c r="B100" s="7"/>
      <c r="C100" s="61" t="s">
        <v>78</v>
      </c>
      <c r="D100" s="50">
        <v>1</v>
      </c>
      <c r="E100" s="50" t="s">
        <v>73</v>
      </c>
      <c r="F100" s="66">
        <f>I95</f>
        <v>9</v>
      </c>
      <c r="G100" s="129"/>
      <c r="H100" s="71"/>
      <c r="I100" s="71"/>
      <c r="J100" s="72"/>
    </row>
    <row r="101" spans="2:10" x14ac:dyDescent="0.3">
      <c r="B101" s="7"/>
      <c r="C101" s="63" t="s">
        <v>80</v>
      </c>
      <c r="D101" s="166">
        <v>0</v>
      </c>
      <c r="E101" s="23" t="s">
        <v>74</v>
      </c>
      <c r="F101" s="176">
        <f>C24</f>
        <v>0.08</v>
      </c>
      <c r="G101" s="96" t="s">
        <v>119</v>
      </c>
      <c r="H101" s="71"/>
      <c r="I101" s="71"/>
      <c r="J101" s="72"/>
    </row>
    <row r="102" spans="2:10" x14ac:dyDescent="0.3">
      <c r="B102" s="7"/>
      <c r="C102" s="63"/>
      <c r="D102" s="23"/>
      <c r="E102" s="23" t="s">
        <v>75</v>
      </c>
      <c r="F102" s="124">
        <v>0</v>
      </c>
      <c r="G102" s="96"/>
      <c r="H102" s="71"/>
      <c r="I102" s="71"/>
      <c r="J102" s="72"/>
    </row>
    <row r="103" spans="2:10" x14ac:dyDescent="0.3">
      <c r="B103" s="7"/>
      <c r="C103" s="63"/>
      <c r="D103" s="23"/>
      <c r="E103" s="23" t="s">
        <v>76</v>
      </c>
      <c r="F103" s="40">
        <f>F99</f>
        <v>56099.741176698124</v>
      </c>
      <c r="G103" s="96"/>
      <c r="H103" s="71"/>
      <c r="I103" s="71"/>
      <c r="J103" s="72"/>
    </row>
    <row r="104" spans="2:10" x14ac:dyDescent="0.3">
      <c r="B104" s="7"/>
      <c r="C104" s="67" t="s">
        <v>98</v>
      </c>
      <c r="D104" s="23"/>
      <c r="E104" s="41" t="s">
        <v>77</v>
      </c>
      <c r="F104" s="42">
        <f>PV(F101/D100,F100,F102,F103,D101)</f>
        <v>-28063.837579985418</v>
      </c>
      <c r="G104" s="96" t="s">
        <v>121</v>
      </c>
      <c r="H104" s="71"/>
      <c r="I104" s="71"/>
      <c r="J104" s="72"/>
    </row>
    <row r="105" spans="2:10" x14ac:dyDescent="0.3">
      <c r="B105" s="7"/>
      <c r="C105" s="67"/>
      <c r="D105" s="23"/>
      <c r="E105" s="41" t="s">
        <v>99</v>
      </c>
      <c r="F105" s="47">
        <f>C35</f>
        <v>10000</v>
      </c>
      <c r="G105" s="96"/>
      <c r="H105" s="71"/>
      <c r="I105" s="71"/>
      <c r="J105" s="72"/>
    </row>
    <row r="106" spans="2:10" ht="15" thickBot="1" x14ac:dyDescent="0.35">
      <c r="B106" s="43"/>
      <c r="C106" s="68"/>
      <c r="D106" s="44"/>
      <c r="E106" s="45" t="s">
        <v>98</v>
      </c>
      <c r="F106" s="49">
        <f>SUM(F104:F105)</f>
        <v>-18063.837579985418</v>
      </c>
      <c r="G106" s="128"/>
      <c r="H106" s="73"/>
      <c r="I106" s="73"/>
      <c r="J106" s="74"/>
    </row>
    <row r="107" spans="2:10" x14ac:dyDescent="0.3">
      <c r="B107" s="4" t="s">
        <v>87</v>
      </c>
      <c r="C107" s="61" t="s">
        <v>92</v>
      </c>
      <c r="D107" s="50">
        <f>D94</f>
        <v>18</v>
      </c>
      <c r="E107" s="31" t="s">
        <v>3</v>
      </c>
      <c r="F107" s="32"/>
      <c r="G107" s="129"/>
      <c r="H107" s="188" t="s">
        <v>96</v>
      </c>
      <c r="I107" s="188"/>
      <c r="J107" s="33"/>
    </row>
    <row r="108" spans="2:10" x14ac:dyDescent="0.3">
      <c r="B108" s="7"/>
      <c r="C108" s="63" t="s">
        <v>78</v>
      </c>
      <c r="D108" s="23">
        <f>D95</f>
        <v>1</v>
      </c>
      <c r="E108" s="23" t="s">
        <v>73</v>
      </c>
      <c r="F108" s="36">
        <f>F95</f>
        <v>3</v>
      </c>
      <c r="G108" s="96"/>
      <c r="H108" s="23" t="s">
        <v>73</v>
      </c>
      <c r="I108" s="36">
        <f>D107-C7</f>
        <v>8</v>
      </c>
      <c r="J108" s="38"/>
    </row>
    <row r="109" spans="2:10" x14ac:dyDescent="0.3">
      <c r="B109" s="7"/>
      <c r="C109" s="63" t="s">
        <v>81</v>
      </c>
      <c r="D109" s="166">
        <v>1</v>
      </c>
      <c r="E109" s="23" t="s">
        <v>74</v>
      </c>
      <c r="F109" s="173">
        <f>F96</f>
        <v>3.3492822966507241E-2</v>
      </c>
      <c r="G109" s="96" t="s">
        <v>118</v>
      </c>
      <c r="H109" s="23" t="s">
        <v>74</v>
      </c>
      <c r="I109" s="171">
        <f>I96</f>
        <v>4.4999999999999998E-2</v>
      </c>
      <c r="J109" s="38" t="s">
        <v>40</v>
      </c>
    </row>
    <row r="110" spans="2:10" x14ac:dyDescent="0.3">
      <c r="B110" s="7"/>
      <c r="C110" s="63"/>
      <c r="D110" s="23"/>
      <c r="E110" s="23" t="s">
        <v>75</v>
      </c>
      <c r="F110" s="40">
        <f>I112</f>
        <v>-18487.307966875891</v>
      </c>
      <c r="G110" s="96"/>
      <c r="H110" s="23" t="s">
        <v>93</v>
      </c>
      <c r="I110" s="37">
        <f>I97</f>
        <v>13000</v>
      </c>
      <c r="J110" s="38"/>
    </row>
    <row r="111" spans="2:10" x14ac:dyDescent="0.3">
      <c r="B111" s="7"/>
      <c r="C111" s="63"/>
      <c r="D111" s="23"/>
      <c r="E111" s="23" t="s">
        <v>76</v>
      </c>
      <c r="F111" s="124">
        <v>0</v>
      </c>
      <c r="G111" s="96"/>
      <c r="H111" s="23" t="s">
        <v>75</v>
      </c>
      <c r="I111" s="37">
        <v>0</v>
      </c>
      <c r="J111" s="38"/>
    </row>
    <row r="112" spans="2:10" ht="15" thickBot="1" x14ac:dyDescent="0.35">
      <c r="B112" s="7"/>
      <c r="C112" s="64" t="str">
        <f>C99</f>
        <v xml:space="preserve">Cost all 3 years </v>
      </c>
      <c r="D112" s="44"/>
      <c r="E112" s="45" t="s">
        <v>77</v>
      </c>
      <c r="F112" s="49">
        <f>PV(F109/D108,F108,F110,F111,D109)</f>
        <v>53683.962848514951</v>
      </c>
      <c r="G112" s="128"/>
      <c r="H112" s="45" t="s">
        <v>94</v>
      </c>
      <c r="I112" s="49">
        <f>FV(I109/D108,I108,I111,I110,0)</f>
        <v>-18487.307966875891</v>
      </c>
      <c r="J112" s="65"/>
    </row>
    <row r="113" spans="2:10" x14ac:dyDescent="0.3">
      <c r="B113" s="7"/>
      <c r="C113" s="61" t="s">
        <v>78</v>
      </c>
      <c r="D113" s="50">
        <f>D108</f>
        <v>1</v>
      </c>
      <c r="E113" s="50" t="s">
        <v>73</v>
      </c>
      <c r="F113" s="66">
        <f>I108</f>
        <v>8</v>
      </c>
      <c r="G113" s="129"/>
      <c r="H113" s="71"/>
      <c r="I113" s="71"/>
      <c r="J113" s="72"/>
    </row>
    <row r="114" spans="2:10" x14ac:dyDescent="0.3">
      <c r="B114" s="7"/>
      <c r="C114" s="63" t="s">
        <v>80</v>
      </c>
      <c r="D114" s="166">
        <v>0</v>
      </c>
      <c r="E114" s="23" t="s">
        <v>74</v>
      </c>
      <c r="F114" s="176">
        <f>F101</f>
        <v>0.08</v>
      </c>
      <c r="G114" s="96" t="s">
        <v>119</v>
      </c>
      <c r="H114" s="71"/>
      <c r="I114" s="71"/>
      <c r="J114" s="72"/>
    </row>
    <row r="115" spans="2:10" x14ac:dyDescent="0.3">
      <c r="B115" s="7"/>
      <c r="C115" s="63"/>
      <c r="D115" s="23"/>
      <c r="E115" s="23" t="s">
        <v>75</v>
      </c>
      <c r="F115" s="124">
        <v>0</v>
      </c>
      <c r="G115" s="96"/>
      <c r="H115" s="71"/>
      <c r="I115" s="71"/>
      <c r="J115" s="72"/>
    </row>
    <row r="116" spans="2:10" x14ac:dyDescent="0.3">
      <c r="B116" s="7"/>
      <c r="C116" s="63"/>
      <c r="D116" s="23"/>
      <c r="E116" s="23" t="s">
        <v>76</v>
      </c>
      <c r="F116" s="40">
        <f>F112</f>
        <v>53683.962848514951</v>
      </c>
      <c r="G116" s="96"/>
      <c r="H116" s="71"/>
      <c r="I116" s="71"/>
      <c r="J116" s="72"/>
    </row>
    <row r="117" spans="2:10" x14ac:dyDescent="0.3">
      <c r="B117" s="7"/>
      <c r="C117" s="67" t="s">
        <v>98</v>
      </c>
      <c r="D117" s="23"/>
      <c r="E117" s="41" t="s">
        <v>77</v>
      </c>
      <c r="F117" s="42">
        <f>PV(F114/D113,F113,F115,F116,D114)</f>
        <v>-29003.774723812683</v>
      </c>
      <c r="G117" s="96"/>
      <c r="H117" s="71"/>
      <c r="I117" s="71"/>
      <c r="J117" s="72"/>
    </row>
    <row r="118" spans="2:10" x14ac:dyDescent="0.3">
      <c r="B118" s="7"/>
      <c r="C118" s="63"/>
      <c r="D118" s="23"/>
      <c r="E118" s="41" t="s">
        <v>99</v>
      </c>
      <c r="F118" s="47">
        <f>C36</f>
        <v>12000</v>
      </c>
      <c r="G118" s="103"/>
      <c r="H118" s="71"/>
      <c r="I118" s="71"/>
      <c r="J118" s="72"/>
    </row>
    <row r="119" spans="2:10" ht="15" thickBot="1" x14ac:dyDescent="0.35">
      <c r="B119" s="7"/>
      <c r="C119" s="68"/>
      <c r="D119" s="44"/>
      <c r="E119" s="45" t="s">
        <v>98</v>
      </c>
      <c r="F119" s="49">
        <f>SUM(F117:F118)</f>
        <v>-17003.774723812683</v>
      </c>
      <c r="G119" s="131"/>
      <c r="H119" s="71"/>
      <c r="I119" s="71"/>
      <c r="J119" s="72"/>
    </row>
    <row r="120" spans="2:10" ht="15" thickBot="1" x14ac:dyDescent="0.35">
      <c r="B120" s="52"/>
      <c r="C120" s="69"/>
      <c r="D120" s="54"/>
      <c r="E120" s="55" t="s">
        <v>87</v>
      </c>
      <c r="F120" s="56">
        <f>-F106-F119</f>
        <v>35067.612303798101</v>
      </c>
      <c r="G120" s="130">
        <f>F120</f>
        <v>35067.612303798101</v>
      </c>
      <c r="H120" s="80"/>
      <c r="I120" s="80"/>
      <c r="J120" s="81"/>
    </row>
    <row r="121" spans="2:10" ht="43.2" x14ac:dyDescent="0.3">
      <c r="C121" s="113" t="s">
        <v>108</v>
      </c>
      <c r="D121" s="50"/>
      <c r="E121" s="50"/>
      <c r="F121" s="114" t="str">
        <f>F63</f>
        <v>Spouse 1</v>
      </c>
      <c r="G121" s="132" t="str">
        <f>G63</f>
        <v>Spouse 2</v>
      </c>
    </row>
    <row r="122" spans="2:10" x14ac:dyDescent="0.3">
      <c r="C122" s="63" t="s">
        <v>78</v>
      </c>
      <c r="D122" s="23">
        <v>12</v>
      </c>
      <c r="E122" s="23" t="s">
        <v>73</v>
      </c>
      <c r="F122" s="116">
        <f>(C28-C4)*D122</f>
        <v>360</v>
      </c>
      <c r="G122" s="133">
        <f>(C28-C3)*D122</f>
        <v>384</v>
      </c>
    </row>
    <row r="123" spans="2:10" x14ac:dyDescent="0.3">
      <c r="C123" s="63"/>
      <c r="D123" s="23"/>
      <c r="E123" s="23" t="s">
        <v>74</v>
      </c>
      <c r="F123" s="161">
        <f>C24</f>
        <v>0.08</v>
      </c>
      <c r="G123" s="162">
        <f>F123</f>
        <v>0.08</v>
      </c>
      <c r="H123" t="s">
        <v>126</v>
      </c>
    </row>
    <row r="124" spans="2:10" ht="15" thickBot="1" x14ac:dyDescent="0.35">
      <c r="C124" s="63" t="s">
        <v>27</v>
      </c>
      <c r="D124" s="23"/>
      <c r="E124" s="23" t="s">
        <v>93</v>
      </c>
      <c r="F124" s="118">
        <f>-F8</f>
        <v>-6700</v>
      </c>
      <c r="G124" s="135">
        <f>F124</f>
        <v>-6700</v>
      </c>
    </row>
    <row r="125" spans="2:10" ht="43.8" thickBot="1" x14ac:dyDescent="0.35">
      <c r="C125" s="63"/>
      <c r="D125" s="23"/>
      <c r="E125" s="23" t="s">
        <v>75</v>
      </c>
      <c r="F125" s="86">
        <f>-H54</f>
        <v>-400</v>
      </c>
      <c r="G125" s="136">
        <v>-1000</v>
      </c>
      <c r="H125" s="119" t="s">
        <v>103</v>
      </c>
    </row>
    <row r="126" spans="2:10" ht="15" thickBot="1" x14ac:dyDescent="0.35">
      <c r="C126" s="68"/>
      <c r="D126" s="44"/>
      <c r="E126" s="45" t="s">
        <v>94</v>
      </c>
      <c r="F126" s="125">
        <f>FV(F123/D122,F122,F125,F124,D77)</f>
        <v>669413.16817229998</v>
      </c>
      <c r="G126" s="137">
        <f>FV(G123/D122,G122,G125,G124,D77)</f>
        <v>1859894.5828423779</v>
      </c>
      <c r="H126" s="2"/>
    </row>
    <row r="127" spans="2:10" x14ac:dyDescent="0.3">
      <c r="C127" s="61" t="s">
        <v>78</v>
      </c>
      <c r="D127" s="50">
        <v>1</v>
      </c>
      <c r="E127" s="50" t="s">
        <v>73</v>
      </c>
      <c r="F127" s="50">
        <f>F122/D122</f>
        <v>30</v>
      </c>
      <c r="G127" s="138">
        <f>G122/D122</f>
        <v>32</v>
      </c>
    </row>
    <row r="128" spans="2:10" x14ac:dyDescent="0.3">
      <c r="C128" s="63"/>
      <c r="D128" s="23"/>
      <c r="E128" s="23" t="s">
        <v>74</v>
      </c>
      <c r="F128" s="163">
        <f>F123</f>
        <v>0.08</v>
      </c>
      <c r="G128" s="164">
        <f>G123</f>
        <v>0.08</v>
      </c>
      <c r="H128" t="s">
        <v>126</v>
      </c>
    </row>
    <row r="129" spans="3:7" x14ac:dyDescent="0.3">
      <c r="C129" s="63"/>
      <c r="D129" s="23"/>
      <c r="E129" s="23" t="s">
        <v>75</v>
      </c>
      <c r="F129" s="93">
        <v>0</v>
      </c>
      <c r="G129" s="98">
        <v>0</v>
      </c>
    </row>
    <row r="130" spans="3:7" x14ac:dyDescent="0.3">
      <c r="C130" s="63"/>
      <c r="D130" s="23"/>
      <c r="E130" s="23" t="s">
        <v>76</v>
      </c>
      <c r="F130" s="122">
        <f>-F126</f>
        <v>-669413.16817229998</v>
      </c>
      <c r="G130" s="140">
        <f>-G126</f>
        <v>-1859894.5828423779</v>
      </c>
    </row>
    <row r="131" spans="3:7" ht="15" thickBot="1" x14ac:dyDescent="0.35">
      <c r="C131" s="68"/>
      <c r="D131" s="44"/>
      <c r="E131" s="45" t="s">
        <v>77</v>
      </c>
      <c r="F131" s="51">
        <f>PV(F128/D127,F127,F129,F130,D77)</f>
        <v>66524.495026674675</v>
      </c>
      <c r="G131" s="141">
        <f>PV(G128/D127,G127,G129,G130,D77)</f>
        <v>158463.10225197257</v>
      </c>
    </row>
    <row r="132" spans="3:7" ht="28.8" x14ac:dyDescent="0.3">
      <c r="C132" s="113" t="s">
        <v>104</v>
      </c>
      <c r="D132" s="50"/>
      <c r="E132" s="50"/>
      <c r="F132" s="114" t="str">
        <f>F121</f>
        <v>Spouse 1</v>
      </c>
      <c r="G132" s="115" t="str">
        <f>G121</f>
        <v>Spouse 2</v>
      </c>
    </row>
    <row r="133" spans="3:7" x14ac:dyDescent="0.3">
      <c r="C133" s="63"/>
      <c r="D133" s="23" t="s">
        <v>112</v>
      </c>
      <c r="E133" s="23" t="s">
        <v>64</v>
      </c>
      <c r="F133" s="86">
        <f>F68</f>
        <v>336000</v>
      </c>
      <c r="G133" s="120">
        <f>G68</f>
        <v>336000</v>
      </c>
    </row>
    <row r="134" spans="3:7" x14ac:dyDescent="0.3">
      <c r="C134" s="63"/>
      <c r="D134" s="23" t="s">
        <v>110</v>
      </c>
      <c r="E134" s="23" t="s">
        <v>105</v>
      </c>
      <c r="F134" s="122">
        <f>F92</f>
        <v>428672.39708678029</v>
      </c>
      <c r="G134" s="123">
        <f>G92</f>
        <v>428672.39708678029</v>
      </c>
    </row>
    <row r="135" spans="3:7" x14ac:dyDescent="0.3">
      <c r="C135" s="63"/>
      <c r="D135" s="23" t="s">
        <v>111</v>
      </c>
      <c r="E135" s="23" t="s">
        <v>87</v>
      </c>
      <c r="F135" s="122">
        <f>F120</f>
        <v>35067.612303798101</v>
      </c>
      <c r="G135" s="123">
        <f>G120</f>
        <v>35067.612303798101</v>
      </c>
    </row>
    <row r="136" spans="3:7" ht="28.8" x14ac:dyDescent="0.3">
      <c r="C136" s="63"/>
      <c r="D136" s="23"/>
      <c r="E136" s="142" t="s">
        <v>106</v>
      </c>
      <c r="F136" s="122">
        <f>F131</f>
        <v>66524.495026674675</v>
      </c>
      <c r="G136" s="123">
        <f>G131</f>
        <v>158463.10225197257</v>
      </c>
    </row>
    <row r="137" spans="3:7" ht="16.2" x14ac:dyDescent="0.45">
      <c r="C137" s="63"/>
      <c r="D137" s="23"/>
      <c r="E137" s="23" t="s">
        <v>107</v>
      </c>
      <c r="F137" s="88">
        <f>C42</f>
        <v>200000</v>
      </c>
      <c r="G137" s="143">
        <f>F137</f>
        <v>200000</v>
      </c>
    </row>
    <row r="138" spans="3:7" ht="15" thickBot="1" x14ac:dyDescent="0.35">
      <c r="C138" s="68"/>
      <c r="D138" s="44"/>
      <c r="E138" s="44"/>
      <c r="F138" s="144">
        <f>SUM(F133:F137)</f>
        <v>1066264.5044172532</v>
      </c>
      <c r="G138" s="145">
        <f>SUM(G133:G137)</f>
        <v>1158203.1116425509</v>
      </c>
    </row>
    <row r="140" spans="3:7" ht="16.2" customHeight="1" x14ac:dyDescent="0.3"/>
  </sheetData>
  <mergeCells count="6">
    <mergeCell ref="H107:I107"/>
    <mergeCell ref="B2:C2"/>
    <mergeCell ref="E2:I2"/>
    <mergeCell ref="F28:G28"/>
    <mergeCell ref="I28:J28"/>
    <mergeCell ref="H94:I9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2814-EA90-4927-BF15-09EA78693199}">
  <dimension ref="A1:K152"/>
  <sheetViews>
    <sheetView topLeftCell="A40" zoomScale="60" zoomScaleNormal="60" workbookViewId="0">
      <selection activeCell="C25" sqref="C25"/>
    </sheetView>
  </sheetViews>
  <sheetFormatPr defaultRowHeight="14.4" x14ac:dyDescent="0.3"/>
  <cols>
    <col min="1" max="1" width="4" customWidth="1"/>
    <col min="2" max="2" width="17.33203125" bestFit="1" customWidth="1"/>
    <col min="3" max="3" width="21" style="1" bestFit="1" customWidth="1"/>
    <col min="4" max="4" width="5.33203125" bestFit="1" customWidth="1"/>
    <col min="5" max="5" width="25" bestFit="1" customWidth="1"/>
    <col min="6" max="6" width="18.44140625" bestFit="1" customWidth="1"/>
    <col min="7" max="7" width="33.77734375" bestFit="1" customWidth="1"/>
    <col min="8" max="8" width="24" bestFit="1" customWidth="1"/>
    <col min="9" max="11" width="15.44140625" bestFit="1" customWidth="1"/>
  </cols>
  <sheetData>
    <row r="1" spans="2:9" ht="15" thickBot="1" x14ac:dyDescent="0.35"/>
    <row r="2" spans="2:9" ht="15" thickBot="1" x14ac:dyDescent="0.35">
      <c r="B2" s="189" t="s">
        <v>102</v>
      </c>
      <c r="C2" s="190"/>
      <c r="E2" s="191" t="s">
        <v>17</v>
      </c>
      <c r="F2" s="192"/>
      <c r="G2" s="192"/>
      <c r="H2" s="192"/>
      <c r="I2" s="193"/>
    </row>
    <row r="3" spans="2:9" x14ac:dyDescent="0.3">
      <c r="B3" s="7" t="s">
        <v>127</v>
      </c>
      <c r="C3" s="104">
        <v>33</v>
      </c>
      <c r="E3" s="4" t="s">
        <v>28</v>
      </c>
      <c r="F3" s="186" t="str">
        <f>B3</f>
        <v>Spouse 1</v>
      </c>
      <c r="G3" s="186" t="str">
        <f>B4</f>
        <v>Spouse 2</v>
      </c>
      <c r="H3" s="186" t="s">
        <v>19</v>
      </c>
      <c r="I3" s="187" t="s">
        <v>20</v>
      </c>
    </row>
    <row r="4" spans="2:9" x14ac:dyDescent="0.3">
      <c r="B4" s="7" t="s">
        <v>128</v>
      </c>
      <c r="C4" s="104">
        <v>35</v>
      </c>
      <c r="E4" s="7" t="s">
        <v>24</v>
      </c>
      <c r="F4" s="27">
        <v>0</v>
      </c>
      <c r="G4" s="27">
        <v>0</v>
      </c>
      <c r="H4" s="27">
        <v>2000</v>
      </c>
      <c r="I4" s="27">
        <f>SUM(F4:H4)</f>
        <v>2000</v>
      </c>
    </row>
    <row r="5" spans="2:9" ht="16.2" x14ac:dyDescent="0.45">
      <c r="B5" s="7"/>
      <c r="C5" s="105"/>
      <c r="E5" s="7" t="s">
        <v>25</v>
      </c>
      <c r="F5" s="146">
        <v>0</v>
      </c>
      <c r="G5" s="146">
        <v>0</v>
      </c>
      <c r="H5" s="146">
        <v>0</v>
      </c>
      <c r="I5" s="146">
        <f>SUM(F5:H5)</f>
        <v>0</v>
      </c>
    </row>
    <row r="6" spans="2:9" x14ac:dyDescent="0.3">
      <c r="B6" s="7" t="s">
        <v>2</v>
      </c>
      <c r="C6" s="104">
        <v>5</v>
      </c>
      <c r="E6" s="12" t="s">
        <v>23</v>
      </c>
      <c r="F6" s="13">
        <f>SUM(F4:F5)</f>
        <v>0</v>
      </c>
      <c r="G6" s="13">
        <f t="shared" ref="G6:I6" si="0">SUM(G4:G5)</f>
        <v>0</v>
      </c>
      <c r="H6" s="13">
        <f t="shared" si="0"/>
        <v>2000</v>
      </c>
      <c r="I6" s="14">
        <f t="shared" si="0"/>
        <v>2000</v>
      </c>
    </row>
    <row r="7" spans="2:9" x14ac:dyDescent="0.3">
      <c r="B7" s="7" t="s">
        <v>3</v>
      </c>
      <c r="C7" s="104">
        <v>7</v>
      </c>
      <c r="E7" s="7"/>
      <c r="F7" s="8"/>
      <c r="G7" s="8"/>
      <c r="H7" s="8"/>
      <c r="I7" s="9"/>
    </row>
    <row r="8" spans="2:9" x14ac:dyDescent="0.3">
      <c r="B8" s="7"/>
      <c r="C8" s="105"/>
      <c r="E8" s="7" t="s">
        <v>27</v>
      </c>
      <c r="F8" s="27">
        <v>6700</v>
      </c>
      <c r="G8" s="27">
        <v>0</v>
      </c>
      <c r="H8" s="27">
        <v>0</v>
      </c>
      <c r="I8" s="27">
        <f>SUM(F8:H8)</f>
        <v>6700</v>
      </c>
    </row>
    <row r="9" spans="2:9" ht="16.2" x14ac:dyDescent="0.45">
      <c r="B9" s="12" t="s">
        <v>4</v>
      </c>
      <c r="C9" s="105"/>
      <c r="E9" s="7" t="s">
        <v>99</v>
      </c>
      <c r="F9" s="146">
        <v>0</v>
      </c>
      <c r="G9" s="146">
        <v>0</v>
      </c>
      <c r="H9" s="179">
        <f>C37</f>
        <v>35000</v>
      </c>
      <c r="I9" s="146">
        <f>SUM(F9:H9)</f>
        <v>35000</v>
      </c>
    </row>
    <row r="10" spans="2:9" x14ac:dyDescent="0.3">
      <c r="B10" s="7" t="s">
        <v>5</v>
      </c>
      <c r="C10" s="104" t="s">
        <v>6</v>
      </c>
      <c r="E10" s="12" t="s">
        <v>26</v>
      </c>
      <c r="F10" s="13">
        <f>SUM(F8:F9)</f>
        <v>6700</v>
      </c>
      <c r="G10" s="13">
        <f t="shared" ref="G10:I10" si="1">SUM(G8:G9)</f>
        <v>0</v>
      </c>
      <c r="H10" s="13">
        <f t="shared" si="1"/>
        <v>35000</v>
      </c>
      <c r="I10" s="14">
        <f t="shared" si="1"/>
        <v>41700</v>
      </c>
    </row>
    <row r="11" spans="2:9" x14ac:dyDescent="0.3">
      <c r="B11" s="7" t="s">
        <v>7</v>
      </c>
      <c r="C11" s="106">
        <v>0.8</v>
      </c>
      <c r="E11" s="7"/>
      <c r="F11" s="8"/>
      <c r="G11" s="8"/>
      <c r="H11" s="8"/>
      <c r="I11" s="9"/>
    </row>
    <row r="12" spans="2:9" x14ac:dyDescent="0.3">
      <c r="B12" s="7" t="s">
        <v>8</v>
      </c>
      <c r="C12" s="104" t="s">
        <v>9</v>
      </c>
      <c r="E12" s="7" t="s">
        <v>18</v>
      </c>
      <c r="F12" s="27">
        <v>0</v>
      </c>
      <c r="G12" s="27">
        <v>0</v>
      </c>
      <c r="H12" s="27">
        <v>650000</v>
      </c>
      <c r="I12" s="27">
        <f>SUM(F12:H12)</f>
        <v>650000</v>
      </c>
    </row>
    <row r="13" spans="2:9" ht="16.2" x14ac:dyDescent="0.45">
      <c r="B13" s="12" t="s">
        <v>10</v>
      </c>
      <c r="C13" s="105"/>
      <c r="E13" s="7" t="s">
        <v>21</v>
      </c>
      <c r="F13" s="146">
        <v>0</v>
      </c>
      <c r="G13" s="146">
        <v>0</v>
      </c>
      <c r="H13" s="146">
        <v>0</v>
      </c>
      <c r="I13" s="146">
        <f>SUM(F13:H13)</f>
        <v>0</v>
      </c>
    </row>
    <row r="14" spans="2:9" x14ac:dyDescent="0.3">
      <c r="B14" s="7" t="s">
        <v>11</v>
      </c>
      <c r="C14" s="104" t="s">
        <v>12</v>
      </c>
      <c r="E14" s="12" t="s">
        <v>22</v>
      </c>
      <c r="F14" s="13">
        <f>SUM(F12:F13)</f>
        <v>0</v>
      </c>
      <c r="G14" s="13">
        <f t="shared" ref="G14:I14" si="2">SUM(G12:G13)</f>
        <v>0</v>
      </c>
      <c r="H14" s="13">
        <f t="shared" si="2"/>
        <v>650000</v>
      </c>
      <c r="I14" s="14">
        <f t="shared" si="2"/>
        <v>650000</v>
      </c>
    </row>
    <row r="15" spans="2:9" x14ac:dyDescent="0.3">
      <c r="B15" s="7" t="s">
        <v>13</v>
      </c>
      <c r="C15" s="104" t="s">
        <v>14</v>
      </c>
      <c r="E15" s="7"/>
      <c r="F15" s="8"/>
      <c r="G15" s="8"/>
      <c r="H15" s="8"/>
      <c r="I15" s="9"/>
    </row>
    <row r="16" spans="2:9" ht="15" thickBot="1" x14ac:dyDescent="0.35">
      <c r="B16" s="7" t="s">
        <v>15</v>
      </c>
      <c r="C16" s="106">
        <f>2/3</f>
        <v>0.66666666666666663</v>
      </c>
      <c r="E16" s="15" t="s">
        <v>29</v>
      </c>
      <c r="F16" s="16">
        <f>F6+F10+F14</f>
        <v>6700</v>
      </c>
      <c r="G16" s="16">
        <f t="shared" ref="G16:I16" si="3">G6+G10+G14</f>
        <v>0</v>
      </c>
      <c r="H16" s="16">
        <f t="shared" si="3"/>
        <v>687000</v>
      </c>
      <c r="I16" s="17">
        <f t="shared" si="3"/>
        <v>693700</v>
      </c>
    </row>
    <row r="17" spans="2:11" x14ac:dyDescent="0.3">
      <c r="B17" s="7" t="s">
        <v>13</v>
      </c>
      <c r="C17" s="104" t="s">
        <v>16</v>
      </c>
      <c r="E17" s="20" t="s">
        <v>30</v>
      </c>
      <c r="F17" s="21"/>
      <c r="G17" s="21"/>
      <c r="H17" s="21"/>
      <c r="I17" s="22"/>
    </row>
    <row r="18" spans="2:11" x14ac:dyDescent="0.3">
      <c r="B18" s="7"/>
      <c r="C18" s="105"/>
      <c r="E18" s="19" t="s">
        <v>31</v>
      </c>
      <c r="F18" s="8">
        <v>0</v>
      </c>
      <c r="G18" s="8">
        <v>0</v>
      </c>
      <c r="H18" s="27">
        <v>16000</v>
      </c>
      <c r="I18" s="9">
        <f>SUM(F18:H18)</f>
        <v>16000</v>
      </c>
    </row>
    <row r="19" spans="2:11" ht="16.2" x14ac:dyDescent="0.45">
      <c r="B19" s="7" t="s">
        <v>62</v>
      </c>
      <c r="C19" s="107">
        <v>25000</v>
      </c>
      <c r="E19" s="19" t="s">
        <v>32</v>
      </c>
      <c r="F19" s="10">
        <v>0</v>
      </c>
      <c r="G19" s="10">
        <v>0</v>
      </c>
      <c r="H19" s="10">
        <v>0</v>
      </c>
      <c r="I19" s="11">
        <f>SUM(F19:H19)</f>
        <v>0</v>
      </c>
    </row>
    <row r="20" spans="2:11" x14ac:dyDescent="0.3">
      <c r="B20" s="7" t="s">
        <v>63</v>
      </c>
      <c r="C20" s="108">
        <v>20000</v>
      </c>
      <c r="E20" s="18" t="s">
        <v>33</v>
      </c>
      <c r="F20" s="13">
        <f>SUM(F18:F19)</f>
        <v>0</v>
      </c>
      <c r="G20" s="13">
        <f t="shared" ref="G20:I20" si="4">SUM(G18:G19)</f>
        <v>0</v>
      </c>
      <c r="H20" s="13">
        <f t="shared" si="4"/>
        <v>16000</v>
      </c>
      <c r="I20" s="14">
        <f t="shared" si="4"/>
        <v>16000</v>
      </c>
    </row>
    <row r="21" spans="2:11" x14ac:dyDescent="0.3">
      <c r="B21" s="7"/>
      <c r="C21" s="105"/>
      <c r="E21" s="7"/>
      <c r="F21" s="8"/>
      <c r="G21" s="8"/>
      <c r="H21" s="8"/>
      <c r="I21" s="9"/>
    </row>
    <row r="22" spans="2:11" x14ac:dyDescent="0.3">
      <c r="B22" s="7" t="s">
        <v>70</v>
      </c>
      <c r="C22" s="109">
        <v>5.0999999999999997E-2</v>
      </c>
      <c r="E22" s="19" t="s">
        <v>34</v>
      </c>
      <c r="F22" s="8">
        <v>0</v>
      </c>
      <c r="G22" s="8">
        <v>0</v>
      </c>
      <c r="H22" s="27">
        <v>275000</v>
      </c>
      <c r="I22" s="9">
        <f>SUM(F22:H22)</f>
        <v>275000</v>
      </c>
    </row>
    <row r="23" spans="2:11" ht="16.2" x14ac:dyDescent="0.45">
      <c r="B23" s="7" t="s">
        <v>71</v>
      </c>
      <c r="C23" s="109">
        <v>1.6E-2</v>
      </c>
      <c r="E23" s="19" t="s">
        <v>35</v>
      </c>
      <c r="F23" s="10">
        <v>0</v>
      </c>
      <c r="G23" s="10">
        <v>0</v>
      </c>
      <c r="H23" s="10">
        <v>0</v>
      </c>
      <c r="I23" s="11">
        <f>SUM(F23:H23)</f>
        <v>0</v>
      </c>
    </row>
    <row r="24" spans="2:11" x14ac:dyDescent="0.3">
      <c r="B24" s="7" t="s">
        <v>72</v>
      </c>
      <c r="C24" s="201">
        <f>C22-C23</f>
        <v>3.4999999999999996E-2</v>
      </c>
      <c r="E24" s="18" t="s">
        <v>36</v>
      </c>
      <c r="F24" s="13">
        <f>SUM(F22:F23)</f>
        <v>0</v>
      </c>
      <c r="G24" s="13">
        <f t="shared" ref="G24:I24" si="5">SUM(G22:G23)</f>
        <v>0</v>
      </c>
      <c r="H24" s="13">
        <f t="shared" si="5"/>
        <v>275000</v>
      </c>
      <c r="I24" s="14">
        <f t="shared" si="5"/>
        <v>275000</v>
      </c>
    </row>
    <row r="25" spans="2:11" x14ac:dyDescent="0.3">
      <c r="B25" s="7" t="s">
        <v>116</v>
      </c>
      <c r="C25" s="174">
        <f>(1+C24)/(1+C26)-1</f>
        <v>1.4705882352941124E-2</v>
      </c>
      <c r="E25" s="7"/>
      <c r="F25" s="23"/>
      <c r="G25" s="23"/>
      <c r="H25" s="23"/>
      <c r="I25" s="24"/>
    </row>
    <row r="26" spans="2:11" ht="15" thickBot="1" x14ac:dyDescent="0.35">
      <c r="B26" s="7" t="s">
        <v>65</v>
      </c>
      <c r="C26" s="200">
        <v>0.02</v>
      </c>
      <c r="E26" s="15" t="s">
        <v>37</v>
      </c>
      <c r="F26" s="25">
        <f>F20+F24</f>
        <v>0</v>
      </c>
      <c r="G26" s="25">
        <f t="shared" ref="G26:I26" si="6">G20+G24</f>
        <v>0</v>
      </c>
      <c r="H26" s="25">
        <f t="shared" si="6"/>
        <v>291000</v>
      </c>
      <c r="I26" s="26">
        <f t="shared" si="6"/>
        <v>291000</v>
      </c>
    </row>
    <row r="27" spans="2:11" ht="15" thickBot="1" x14ac:dyDescent="0.35">
      <c r="B27" s="7"/>
      <c r="C27" s="105"/>
      <c r="E27" s="20" t="s">
        <v>17</v>
      </c>
      <c r="F27" s="82">
        <f>F16-F26</f>
        <v>6700</v>
      </c>
      <c r="G27" s="82">
        <f t="shared" ref="G27:I27" si="7">G16-G26</f>
        <v>0</v>
      </c>
      <c r="H27" s="82">
        <f t="shared" si="7"/>
        <v>396000</v>
      </c>
      <c r="I27" s="83">
        <f t="shared" si="7"/>
        <v>402700</v>
      </c>
    </row>
    <row r="28" spans="2:11" x14ac:dyDescent="0.3">
      <c r="B28" s="7" t="s">
        <v>69</v>
      </c>
      <c r="C28" s="104">
        <v>65</v>
      </c>
      <c r="E28" s="28"/>
      <c r="F28" s="188" t="s">
        <v>39</v>
      </c>
      <c r="G28" s="190"/>
      <c r="H28" s="94" t="s">
        <v>20</v>
      </c>
      <c r="I28" s="189" t="s">
        <v>40</v>
      </c>
      <c r="J28" s="190"/>
      <c r="K28" s="94" t="s">
        <v>20</v>
      </c>
    </row>
    <row r="29" spans="2:11" x14ac:dyDescent="0.3">
      <c r="B29" s="7"/>
      <c r="C29" s="105"/>
      <c r="E29" s="18" t="s">
        <v>38</v>
      </c>
      <c r="F29" s="84" t="str">
        <f>F3</f>
        <v>Spouse 1</v>
      </c>
      <c r="G29" s="212" t="str">
        <f>G3</f>
        <v>Spouse 2</v>
      </c>
      <c r="H29" s="95" t="s">
        <v>39</v>
      </c>
      <c r="I29" s="211" t="str">
        <f>F29</f>
        <v>Spouse 1</v>
      </c>
      <c r="J29" s="212" t="str">
        <f>G29</f>
        <v>Spouse 2</v>
      </c>
      <c r="K29" s="95" t="s">
        <v>40</v>
      </c>
    </row>
    <row r="30" spans="2:11" x14ac:dyDescent="0.3">
      <c r="B30" s="7" t="s">
        <v>88</v>
      </c>
      <c r="C30" s="108">
        <v>10000</v>
      </c>
      <c r="E30" s="19" t="s">
        <v>41</v>
      </c>
      <c r="F30" s="85">
        <v>7083.33</v>
      </c>
      <c r="G30" s="224">
        <v>3333</v>
      </c>
      <c r="H30" s="96">
        <f>SUM(F30:G30)</f>
        <v>10416.33</v>
      </c>
      <c r="I30" s="213">
        <f>F30*12</f>
        <v>84999.959999999992</v>
      </c>
      <c r="J30" s="38">
        <f>G30*12</f>
        <v>39996</v>
      </c>
      <c r="K30" s="101">
        <f>I30+J30</f>
        <v>124995.95999999999</v>
      </c>
    </row>
    <row r="31" spans="2:11" x14ac:dyDescent="0.3">
      <c r="B31" s="7" t="s">
        <v>89</v>
      </c>
      <c r="C31" s="172">
        <v>0.05</v>
      </c>
      <c r="E31" s="18" t="s">
        <v>42</v>
      </c>
      <c r="F31" s="85">
        <v>-2267.5</v>
      </c>
      <c r="G31" s="224">
        <v>-846.58</v>
      </c>
      <c r="H31" s="96">
        <f t="shared" ref="H31:H33" si="8">SUM(F31:G31)</f>
        <v>-3114.08</v>
      </c>
      <c r="I31" s="213">
        <f t="shared" ref="I31:J33" si="9">F31*12</f>
        <v>-27210</v>
      </c>
      <c r="J31" s="38">
        <f t="shared" si="9"/>
        <v>-10158.960000000001</v>
      </c>
      <c r="K31" s="101">
        <f t="shared" ref="K31:K33" si="10">I31+J31</f>
        <v>-37368.959999999999</v>
      </c>
    </row>
    <row r="32" spans="2:11" x14ac:dyDescent="0.3">
      <c r="B32" s="7" t="s">
        <v>116</v>
      </c>
      <c r="C32" s="174">
        <f>(1+C24)/(1+C31)-1</f>
        <v>-1.4285714285714457E-2</v>
      </c>
      <c r="E32" s="7"/>
      <c r="F32" s="37"/>
      <c r="G32" s="38"/>
      <c r="H32" s="96"/>
      <c r="I32" s="213"/>
      <c r="J32" s="38"/>
      <c r="K32" s="101"/>
    </row>
    <row r="33" spans="1:11" x14ac:dyDescent="0.3">
      <c r="B33" s="7" t="s">
        <v>95</v>
      </c>
      <c r="C33" s="104">
        <v>4</v>
      </c>
      <c r="E33" s="18" t="s">
        <v>43</v>
      </c>
      <c r="F33" s="37">
        <v>0</v>
      </c>
      <c r="G33" s="38">
        <v>0</v>
      </c>
      <c r="H33" s="96">
        <f t="shared" si="8"/>
        <v>0</v>
      </c>
      <c r="I33" s="213">
        <f t="shared" si="9"/>
        <v>0</v>
      </c>
      <c r="J33" s="38">
        <f t="shared" si="9"/>
        <v>0</v>
      </c>
      <c r="K33" s="101">
        <f t="shared" si="10"/>
        <v>0</v>
      </c>
    </row>
    <row r="34" spans="1:11" x14ac:dyDescent="0.3">
      <c r="E34" s="7"/>
      <c r="F34" s="37"/>
      <c r="G34" s="38"/>
      <c r="H34" s="96"/>
      <c r="I34" s="213"/>
      <c r="J34" s="38"/>
      <c r="K34" s="101"/>
    </row>
    <row r="35" spans="1:11" ht="16.2" x14ac:dyDescent="0.45">
      <c r="B35" s="7" t="s">
        <v>100</v>
      </c>
      <c r="C35" s="108">
        <v>15000</v>
      </c>
      <c r="E35" s="18" t="s">
        <v>44</v>
      </c>
      <c r="F35" s="87">
        <f>F30+F31+F33</f>
        <v>4815.83</v>
      </c>
      <c r="G35" s="215">
        <f t="shared" ref="G35:K35" si="11">G30+G31+G33</f>
        <v>2486.42</v>
      </c>
      <c r="H35" s="97">
        <f t="shared" si="11"/>
        <v>7302.25</v>
      </c>
      <c r="I35" s="214">
        <f t="shared" si="11"/>
        <v>57789.959999999992</v>
      </c>
      <c r="J35" s="215">
        <f t="shared" si="11"/>
        <v>29837.040000000001</v>
      </c>
      <c r="K35" s="97">
        <f t="shared" si="11"/>
        <v>87627</v>
      </c>
    </row>
    <row r="36" spans="1:11" x14ac:dyDescent="0.3">
      <c r="B36" s="7" t="s">
        <v>101</v>
      </c>
      <c r="C36" s="108">
        <v>20000</v>
      </c>
      <c r="E36" s="7"/>
      <c r="F36" s="37"/>
      <c r="G36" s="38"/>
      <c r="H36" s="96"/>
      <c r="I36" s="213"/>
      <c r="J36" s="38"/>
      <c r="K36" s="101"/>
    </row>
    <row r="37" spans="1:11" x14ac:dyDescent="0.3">
      <c r="B37" s="7" t="s">
        <v>20</v>
      </c>
      <c r="C37" s="111">
        <f>SUM(C35:C36)</f>
        <v>35000</v>
      </c>
      <c r="E37" s="7" t="s">
        <v>34</v>
      </c>
      <c r="F37" s="37"/>
      <c r="G37" s="225">
        <f>H37/$H$30</f>
        <v>0.16320527479448135</v>
      </c>
      <c r="H37" s="98">
        <v>1700</v>
      </c>
      <c r="I37" s="216">
        <f>H37/$H$35</f>
        <v>0.23280495737615117</v>
      </c>
      <c r="J37" s="38"/>
      <c r="K37" s="101">
        <f>H37*12</f>
        <v>20400</v>
      </c>
    </row>
    <row r="38" spans="1:11" x14ac:dyDescent="0.3">
      <c r="B38" s="7"/>
      <c r="C38" s="105"/>
      <c r="E38" s="7" t="s">
        <v>31</v>
      </c>
      <c r="F38" s="37"/>
      <c r="G38" s="225">
        <f t="shared" ref="G38:G40" si="12">H38/$H$30</f>
        <v>3.8401241128113259E-2</v>
      </c>
      <c r="H38" s="98">
        <v>400</v>
      </c>
      <c r="I38" s="216">
        <f t="shared" ref="I38:I40" si="13">H38/$H$35</f>
        <v>5.4777637029682635E-2</v>
      </c>
      <c r="J38" s="38"/>
      <c r="K38" s="101">
        <f t="shared" ref="K38:K39" si="14">H38*12</f>
        <v>4800</v>
      </c>
    </row>
    <row r="39" spans="1:11" ht="16.2" x14ac:dyDescent="0.45">
      <c r="B39" s="7"/>
      <c r="C39" s="105"/>
      <c r="E39" s="7" t="s">
        <v>45</v>
      </c>
      <c r="F39" s="37"/>
      <c r="G39" s="226">
        <f t="shared" si="12"/>
        <v>0</v>
      </c>
      <c r="H39" s="98">
        <v>0</v>
      </c>
      <c r="I39" s="217">
        <f t="shared" si="13"/>
        <v>0</v>
      </c>
      <c r="J39" s="38"/>
      <c r="K39" s="102">
        <f t="shared" si="14"/>
        <v>0</v>
      </c>
    </row>
    <row r="40" spans="1:11" x14ac:dyDescent="0.3">
      <c r="B40" s="7" t="s">
        <v>90</v>
      </c>
      <c r="C40" s="108">
        <v>100000</v>
      </c>
      <c r="E40" s="12" t="s">
        <v>46</v>
      </c>
      <c r="F40" s="37"/>
      <c r="G40" s="225">
        <f t="shared" si="12"/>
        <v>0.20160651592259463</v>
      </c>
      <c r="H40" s="99">
        <f>SUM(H37:H39)</f>
        <v>2100</v>
      </c>
      <c r="I40" s="218">
        <f t="shared" si="13"/>
        <v>0.28758259440583384</v>
      </c>
      <c r="J40" s="208"/>
      <c r="K40" s="99">
        <f>SUM(K37:K39)</f>
        <v>25200</v>
      </c>
    </row>
    <row r="41" spans="1:11" x14ac:dyDescent="0.3">
      <c r="B41" s="7" t="s">
        <v>90</v>
      </c>
      <c r="C41" s="108">
        <f>C40</f>
        <v>100000</v>
      </c>
      <c r="E41" s="7"/>
      <c r="F41" s="37"/>
      <c r="G41" s="227"/>
      <c r="H41" s="96"/>
      <c r="I41" s="219"/>
      <c r="J41" s="38"/>
      <c r="K41" s="101"/>
    </row>
    <row r="42" spans="1:11" ht="15" thickBot="1" x14ac:dyDescent="0.35">
      <c r="B42" s="43"/>
      <c r="C42" s="112">
        <f>SUM(C40:C41)</f>
        <v>200000</v>
      </c>
      <c r="E42" s="7" t="s">
        <v>47</v>
      </c>
      <c r="F42" s="37"/>
      <c r="G42" s="225">
        <f>H42/$H$30</f>
        <v>3.1969033239154288E-2</v>
      </c>
      <c r="H42" s="98">
        <v>333</v>
      </c>
      <c r="I42" s="216">
        <f>H42/$H$35</f>
        <v>4.560238282721079E-2</v>
      </c>
      <c r="J42" s="24"/>
      <c r="K42" s="101">
        <f>H42*12</f>
        <v>3996</v>
      </c>
    </row>
    <row r="43" spans="1:11" x14ac:dyDescent="0.3">
      <c r="E43" s="7" t="s">
        <v>48</v>
      </c>
      <c r="F43" s="37"/>
      <c r="G43" s="225">
        <f t="shared" ref="G43:G60" si="15">H43/$H$30</f>
        <v>2.8800930846084944E-2</v>
      </c>
      <c r="H43" s="98">
        <v>300</v>
      </c>
      <c r="I43" s="216">
        <f t="shared" ref="I43:I45" si="16">H43/$H$35</f>
        <v>4.1083227772261977E-2</v>
      </c>
      <c r="J43" s="24"/>
      <c r="K43" s="101">
        <f t="shared" ref="K43:K44" si="17">H43*12</f>
        <v>3600</v>
      </c>
    </row>
    <row r="44" spans="1:11" ht="16.2" x14ac:dyDescent="0.45">
      <c r="B44" t="s">
        <v>115</v>
      </c>
      <c r="C44" s="1">
        <v>20</v>
      </c>
      <c r="D44">
        <v>12</v>
      </c>
      <c r="E44" s="7" t="s">
        <v>49</v>
      </c>
      <c r="F44" s="37"/>
      <c r="G44" s="226">
        <f t="shared" si="15"/>
        <v>0.12000387852535394</v>
      </c>
      <c r="H44" s="98">
        <v>1250</v>
      </c>
      <c r="I44" s="217">
        <f t="shared" si="16"/>
        <v>0.17118011571775824</v>
      </c>
      <c r="J44" s="24"/>
      <c r="K44" s="102">
        <f t="shared" si="17"/>
        <v>15000</v>
      </c>
    </row>
    <row r="45" spans="1:11" x14ac:dyDescent="0.3">
      <c r="B45" t="s">
        <v>113</v>
      </c>
      <c r="E45" s="12" t="s">
        <v>50</v>
      </c>
      <c r="F45" s="41"/>
      <c r="G45" s="225">
        <f t="shared" si="15"/>
        <v>0.18077384261059318</v>
      </c>
      <c r="H45" s="99">
        <f>SUM(H42:H44)</f>
        <v>1883</v>
      </c>
      <c r="I45" s="218">
        <f t="shared" si="16"/>
        <v>0.25786572631723098</v>
      </c>
      <c r="J45" s="208"/>
      <c r="K45" s="99">
        <f>SUM(K42:K44)</f>
        <v>22596</v>
      </c>
    </row>
    <row r="46" spans="1:11" x14ac:dyDescent="0.3">
      <c r="A46">
        <v>1</v>
      </c>
      <c r="B46" t="s">
        <v>73</v>
      </c>
      <c r="C46" s="1">
        <f>C44*D44</f>
        <v>240</v>
      </c>
      <c r="E46" s="7"/>
      <c r="F46" s="37"/>
      <c r="G46" s="227"/>
      <c r="H46" s="96"/>
      <c r="I46" s="219"/>
      <c r="J46" s="24"/>
      <c r="K46" s="103"/>
    </row>
    <row r="47" spans="1:11" x14ac:dyDescent="0.3">
      <c r="B47" t="s">
        <v>74</v>
      </c>
      <c r="C47" s="157">
        <v>0.04</v>
      </c>
      <c r="E47" s="7" t="s">
        <v>51</v>
      </c>
      <c r="F47" s="37"/>
      <c r="G47" s="225">
        <f t="shared" si="15"/>
        <v>4.8001551410141577E-2</v>
      </c>
      <c r="H47" s="98">
        <v>500</v>
      </c>
      <c r="I47" s="216">
        <f>H47/$H$35</f>
        <v>6.8472046287103294E-2</v>
      </c>
      <c r="J47" s="24"/>
      <c r="K47" s="101">
        <f t="shared" ref="K47:K48" si="18">H47*12</f>
        <v>6000</v>
      </c>
    </row>
    <row r="48" spans="1:11" ht="16.2" x14ac:dyDescent="0.45">
      <c r="B48" t="s">
        <v>93</v>
      </c>
      <c r="C48" s="155">
        <v>-380815.44153992401</v>
      </c>
      <c r="E48" s="7" t="s">
        <v>52</v>
      </c>
      <c r="F48" s="37"/>
      <c r="G48" s="226">
        <f t="shared" si="15"/>
        <v>1.9200620564056629E-2</v>
      </c>
      <c r="H48" s="98">
        <v>200</v>
      </c>
      <c r="I48" s="217">
        <f t="shared" ref="I48:I52" si="19">H48/$H$35</f>
        <v>2.7388818514841318E-2</v>
      </c>
      <c r="J48" s="24"/>
      <c r="K48" s="102">
        <f t="shared" si="18"/>
        <v>2400</v>
      </c>
    </row>
    <row r="49" spans="2:11" x14ac:dyDescent="0.3">
      <c r="B49" t="s">
        <v>76</v>
      </c>
      <c r="C49" s="1">
        <v>0</v>
      </c>
      <c r="E49" s="12" t="s">
        <v>53</v>
      </c>
      <c r="F49" s="60"/>
      <c r="G49" s="225">
        <f t="shared" si="15"/>
        <v>6.7202171974198213E-2</v>
      </c>
      <c r="H49" s="99">
        <f>SUM(H47:H48)</f>
        <v>700</v>
      </c>
      <c r="I49" s="218">
        <f t="shared" si="19"/>
        <v>9.5860864801944612E-2</v>
      </c>
      <c r="J49" s="24"/>
      <c r="K49" s="99">
        <f>SUM(K46:K48)</f>
        <v>8400</v>
      </c>
    </row>
    <row r="50" spans="2:11" x14ac:dyDescent="0.3">
      <c r="B50" t="s">
        <v>114</v>
      </c>
      <c r="C50" s="156">
        <f>PMT(C47/D44,C46,C48,C49,A46)</f>
        <v>2300</v>
      </c>
      <c r="E50" s="7"/>
      <c r="F50" s="37"/>
      <c r="G50" s="227"/>
      <c r="H50" s="96"/>
      <c r="I50" s="219"/>
      <c r="J50" s="24"/>
      <c r="K50" s="103"/>
    </row>
    <row r="51" spans="2:11" ht="16.2" x14ac:dyDescent="0.45">
      <c r="E51" s="7" t="s">
        <v>54</v>
      </c>
      <c r="F51" s="37"/>
      <c r="G51" s="226">
        <f t="shared" si="15"/>
        <v>7.9970584649295864E-2</v>
      </c>
      <c r="H51" s="98">
        <v>833</v>
      </c>
      <c r="I51" s="217">
        <f t="shared" si="19"/>
        <v>0.11407442911431408</v>
      </c>
      <c r="J51" s="24"/>
      <c r="K51" s="102">
        <f t="shared" ref="K51" si="20">H51*12</f>
        <v>9996</v>
      </c>
    </row>
    <row r="52" spans="2:11" x14ac:dyDescent="0.3">
      <c r="E52" s="12" t="s">
        <v>55</v>
      </c>
      <c r="F52" s="60"/>
      <c r="G52" s="225">
        <f t="shared" si="15"/>
        <v>7.9970584649295864E-2</v>
      </c>
      <c r="H52" s="99">
        <f>SUM(H51)</f>
        <v>833</v>
      </c>
      <c r="I52" s="218">
        <f t="shared" si="19"/>
        <v>0.11407442911431408</v>
      </c>
      <c r="J52" s="24"/>
      <c r="K52" s="99">
        <f>SUM(K51)</f>
        <v>9996</v>
      </c>
    </row>
    <row r="53" spans="2:11" x14ac:dyDescent="0.3">
      <c r="E53" s="7"/>
      <c r="F53" s="37"/>
      <c r="G53" s="227"/>
      <c r="H53" s="96"/>
      <c r="I53" s="219"/>
      <c r="J53" s="24"/>
      <c r="K53" s="103"/>
    </row>
    <row r="54" spans="2:11" x14ac:dyDescent="0.3">
      <c r="E54" s="7" t="s">
        <v>56</v>
      </c>
      <c r="F54" s="37"/>
      <c r="G54" s="225">
        <f t="shared" si="15"/>
        <v>3.8401241128113259E-2</v>
      </c>
      <c r="H54" s="98">
        <v>400</v>
      </c>
      <c r="I54" s="216">
        <f>H54/$H$35</f>
        <v>5.4777637029682635E-2</v>
      </c>
      <c r="J54" s="24"/>
      <c r="K54" s="101">
        <f t="shared" ref="K54:K55" si="21">H54*12</f>
        <v>4800</v>
      </c>
    </row>
    <row r="55" spans="2:11" ht="16.2" x14ac:dyDescent="0.45">
      <c r="E55" s="7" t="s">
        <v>57</v>
      </c>
      <c r="F55" s="37"/>
      <c r="G55" s="226">
        <f t="shared" si="15"/>
        <v>4.0033293876058078E-2</v>
      </c>
      <c r="H55" s="98">
        <v>417</v>
      </c>
      <c r="I55" s="217">
        <f t="shared" ref="I55:I56" si="22">H55/$H$35</f>
        <v>5.7105686603444145E-2</v>
      </c>
      <c r="J55" s="24"/>
      <c r="K55" s="102">
        <f t="shared" si="21"/>
        <v>5004</v>
      </c>
    </row>
    <row r="56" spans="2:11" x14ac:dyDescent="0.3">
      <c r="E56" s="12" t="s">
        <v>58</v>
      </c>
      <c r="F56" s="37"/>
      <c r="G56" s="225">
        <f t="shared" si="15"/>
        <v>7.843453500417133E-2</v>
      </c>
      <c r="H56" s="99">
        <f>SUM(H54:H55)</f>
        <v>817</v>
      </c>
      <c r="I56" s="218">
        <f t="shared" si="22"/>
        <v>0.11188332363312678</v>
      </c>
      <c r="J56" s="24"/>
      <c r="K56" s="99">
        <f>SUM(K53:K55)</f>
        <v>9804</v>
      </c>
    </row>
    <row r="57" spans="2:11" x14ac:dyDescent="0.3">
      <c r="E57" s="7"/>
      <c r="F57" s="37"/>
      <c r="G57" s="227"/>
      <c r="H57" s="96"/>
      <c r="I57" s="219"/>
      <c r="J57" s="24"/>
      <c r="K57" s="103"/>
    </row>
    <row r="58" spans="2:11" ht="16.2" x14ac:dyDescent="0.45">
      <c r="E58" s="12" t="s">
        <v>59</v>
      </c>
      <c r="F58" s="37"/>
      <c r="G58" s="228">
        <f t="shared" si="15"/>
        <v>0.60798765016085321</v>
      </c>
      <c r="H58" s="97">
        <f>H40+H45+H49+H52+H56</f>
        <v>6333</v>
      </c>
      <c r="I58" s="220">
        <f>H58/$H$35</f>
        <v>0.86726693827245027</v>
      </c>
      <c r="J58" s="221"/>
      <c r="K58" s="97">
        <f>K40+K45+K49+K52+K56</f>
        <v>75996</v>
      </c>
    </row>
    <row r="59" spans="2:11" x14ac:dyDescent="0.3">
      <c r="E59" s="7"/>
      <c r="F59" s="37"/>
      <c r="G59" s="38"/>
      <c r="H59" s="96"/>
      <c r="I59" s="219"/>
      <c r="J59" s="24"/>
      <c r="K59" s="103"/>
    </row>
    <row r="60" spans="2:11" ht="16.8" thickBot="1" x14ac:dyDescent="0.5">
      <c r="E60" s="15" t="s">
        <v>60</v>
      </c>
      <c r="F60" s="46"/>
      <c r="G60" s="229">
        <f t="shared" si="15"/>
        <v>9.3051007408559441E-2</v>
      </c>
      <c r="H60" s="100">
        <f>H35-H58</f>
        <v>969.25</v>
      </c>
      <c r="I60" s="222">
        <f>H60/$H$35</f>
        <v>0.13273306172754973</v>
      </c>
      <c r="J60" s="223"/>
      <c r="K60" s="100">
        <f>K35-K58</f>
        <v>11631</v>
      </c>
    </row>
    <row r="61" spans="2:11" ht="15" thickBot="1" x14ac:dyDescent="0.35">
      <c r="F61" s="3"/>
      <c r="G61" s="3"/>
      <c r="H61" s="3"/>
      <c r="I61" s="3"/>
    </row>
    <row r="62" spans="2:11" ht="15" thickBot="1" x14ac:dyDescent="0.35">
      <c r="D62" s="28"/>
      <c r="E62" s="50"/>
      <c r="F62" s="32"/>
      <c r="G62" s="62"/>
      <c r="H62" s="3"/>
      <c r="I62" s="3"/>
    </row>
    <row r="63" spans="2:11" x14ac:dyDescent="0.3">
      <c r="B63" s="28"/>
      <c r="C63" s="29"/>
      <c r="D63" s="28"/>
      <c r="E63" s="57" t="s">
        <v>61</v>
      </c>
      <c r="F63" s="58" t="str">
        <f>F3</f>
        <v>Spouse 1</v>
      </c>
      <c r="G63" s="126" t="str">
        <f>G3</f>
        <v>Spouse 2</v>
      </c>
      <c r="H63" s="75"/>
      <c r="I63" s="75"/>
      <c r="J63" s="76"/>
    </row>
    <row r="64" spans="2:11" x14ac:dyDescent="0.3">
      <c r="B64" s="7"/>
      <c r="C64" s="34"/>
      <c r="D64" s="7" t="s">
        <v>140</v>
      </c>
      <c r="E64" s="23" t="s">
        <v>34</v>
      </c>
      <c r="F64" s="37">
        <f>I22</f>
        <v>275000</v>
      </c>
      <c r="G64" s="96">
        <f>F64</f>
        <v>275000</v>
      </c>
      <c r="H64" s="77"/>
      <c r="I64" s="77"/>
      <c r="J64" s="72"/>
    </row>
    <row r="65" spans="2:10" x14ac:dyDescent="0.3">
      <c r="B65" s="7"/>
      <c r="C65" s="34"/>
      <c r="D65" s="7" t="s">
        <v>140</v>
      </c>
      <c r="E65" s="23" t="s">
        <v>31</v>
      </c>
      <c r="F65" s="37">
        <f>I18</f>
        <v>16000</v>
      </c>
      <c r="G65" s="96">
        <f>F65</f>
        <v>16000</v>
      </c>
      <c r="H65" s="77"/>
      <c r="I65" s="77"/>
      <c r="J65" s="72"/>
    </row>
    <row r="66" spans="2:10" x14ac:dyDescent="0.3">
      <c r="B66" s="7"/>
      <c r="C66" s="34"/>
      <c r="D66" s="7" t="s">
        <v>139</v>
      </c>
      <c r="E66" s="23" t="s">
        <v>62</v>
      </c>
      <c r="F66" s="37">
        <f>C19</f>
        <v>25000</v>
      </c>
      <c r="G66" s="96">
        <f>F66</f>
        <v>25000</v>
      </c>
      <c r="H66" s="77"/>
      <c r="I66" s="77"/>
      <c r="J66" s="72"/>
    </row>
    <row r="67" spans="2:10" ht="16.2" x14ac:dyDescent="0.45">
      <c r="B67" s="7"/>
      <c r="C67" s="34"/>
      <c r="D67" s="7" t="s">
        <v>139</v>
      </c>
      <c r="E67" s="23" t="s">
        <v>63</v>
      </c>
      <c r="F67" s="59">
        <f>C20</f>
        <v>20000</v>
      </c>
      <c r="G67" s="127">
        <f>F67</f>
        <v>20000</v>
      </c>
      <c r="H67" s="77"/>
      <c r="I67" s="77"/>
      <c r="J67" s="72"/>
    </row>
    <row r="68" spans="2:10" x14ac:dyDescent="0.3">
      <c r="B68" s="7"/>
      <c r="C68" s="34"/>
      <c r="D68" s="7"/>
      <c r="E68" s="41" t="s">
        <v>64</v>
      </c>
      <c r="F68" s="60">
        <f>SUM(F64:F67)</f>
        <v>336000</v>
      </c>
      <c r="G68" s="99">
        <f>SUM(G64:G67)</f>
        <v>336000</v>
      </c>
      <c r="H68" s="77"/>
      <c r="I68" s="77"/>
      <c r="J68" s="72"/>
    </row>
    <row r="69" spans="2:10" x14ac:dyDescent="0.3">
      <c r="B69" s="7"/>
      <c r="C69" s="34"/>
      <c r="D69" s="7"/>
      <c r="E69" s="23"/>
      <c r="F69" s="37"/>
      <c r="G69" s="96"/>
      <c r="H69" s="77"/>
      <c r="I69" s="77"/>
      <c r="J69" s="72"/>
    </row>
    <row r="70" spans="2:10" x14ac:dyDescent="0.3">
      <c r="B70" s="7"/>
      <c r="C70" s="34"/>
      <c r="D70" s="70">
        <v>0.9</v>
      </c>
      <c r="E70" s="23" t="s">
        <v>66</v>
      </c>
      <c r="F70" s="37">
        <f>H42+H43+H44*D70</f>
        <v>1758</v>
      </c>
      <c r="G70" s="96" t="s">
        <v>110</v>
      </c>
      <c r="H70" s="77"/>
      <c r="I70" s="77"/>
      <c r="J70" s="72"/>
    </row>
    <row r="71" spans="2:10" ht="16.2" x14ac:dyDescent="0.45">
      <c r="B71" s="7"/>
      <c r="C71" s="34"/>
      <c r="D71" s="7"/>
      <c r="E71" s="23" t="s">
        <v>67</v>
      </c>
      <c r="F71" s="59">
        <f>H47</f>
        <v>500</v>
      </c>
      <c r="G71" s="96" t="s">
        <v>110</v>
      </c>
      <c r="H71" s="77"/>
      <c r="I71" s="77"/>
      <c r="J71" s="72"/>
    </row>
    <row r="72" spans="2:10" ht="15" thickBot="1" x14ac:dyDescent="0.35">
      <c r="B72" s="43"/>
      <c r="C72" s="48"/>
      <c r="D72" s="43"/>
      <c r="E72" s="44"/>
      <c r="F72" s="46">
        <f>SUM(F70:F71)</f>
        <v>2258</v>
      </c>
      <c r="G72" s="128" t="s">
        <v>110</v>
      </c>
      <c r="H72" s="78"/>
      <c r="I72" s="78"/>
      <c r="J72" s="74"/>
    </row>
    <row r="73" spans="2:10" ht="28.8" x14ac:dyDescent="0.3">
      <c r="B73" s="28"/>
      <c r="C73" s="29" t="s">
        <v>82</v>
      </c>
      <c r="D73" s="50">
        <f>C28</f>
        <v>65</v>
      </c>
      <c r="E73" s="31" t="s">
        <v>84</v>
      </c>
      <c r="F73" s="32"/>
      <c r="G73" s="129"/>
      <c r="H73" s="75"/>
      <c r="I73" s="75"/>
      <c r="J73" s="76"/>
    </row>
    <row r="74" spans="2:10" x14ac:dyDescent="0.3">
      <c r="B74" s="7" t="s">
        <v>83</v>
      </c>
      <c r="C74" s="34" t="str">
        <f>B3</f>
        <v>Spouse 1</v>
      </c>
      <c r="D74" s="23">
        <f>C28-C3</f>
        <v>32</v>
      </c>
      <c r="E74" s="23" t="s">
        <v>68</v>
      </c>
      <c r="F74" s="37"/>
      <c r="G74" s="96"/>
      <c r="H74" s="77"/>
      <c r="I74" s="77"/>
      <c r="J74" s="72"/>
    </row>
    <row r="75" spans="2:10" x14ac:dyDescent="0.3">
      <c r="B75" s="7"/>
      <c r="C75" s="34" t="s">
        <v>78</v>
      </c>
      <c r="D75" s="35">
        <v>12</v>
      </c>
      <c r="E75" s="23" t="s">
        <v>73</v>
      </c>
      <c r="F75" s="36">
        <f>D74*D75</f>
        <v>384</v>
      </c>
      <c r="G75" s="96"/>
      <c r="H75" s="77"/>
      <c r="I75" s="77"/>
      <c r="J75" s="72"/>
    </row>
    <row r="76" spans="2:10" x14ac:dyDescent="0.3">
      <c r="B76" s="7"/>
      <c r="C76" s="34" t="s">
        <v>79</v>
      </c>
      <c r="D76" s="23"/>
      <c r="E76" s="23" t="s">
        <v>74</v>
      </c>
      <c r="F76" s="178">
        <f>C25</f>
        <v>1.4705882352941124E-2</v>
      </c>
      <c r="G76" s="99" t="s">
        <v>122</v>
      </c>
      <c r="H76" s="77"/>
      <c r="I76" s="77"/>
      <c r="J76" s="72"/>
    </row>
    <row r="77" spans="2:10" x14ac:dyDescent="0.3">
      <c r="B77" s="7"/>
      <c r="C77" s="34" t="s">
        <v>80</v>
      </c>
      <c r="D77" s="35">
        <v>0</v>
      </c>
      <c r="E77" s="23" t="s">
        <v>75</v>
      </c>
      <c r="F77" s="37">
        <f>-F72</f>
        <v>-2258</v>
      </c>
      <c r="G77" s="96"/>
      <c r="H77" s="77"/>
      <c r="I77" s="77"/>
      <c r="J77" s="72"/>
    </row>
    <row r="78" spans="2:10" x14ac:dyDescent="0.3">
      <c r="B78" s="7"/>
      <c r="C78" s="34" t="s">
        <v>81</v>
      </c>
      <c r="D78" s="35">
        <v>1</v>
      </c>
      <c r="E78" s="23" t="s">
        <v>76</v>
      </c>
      <c r="F78" s="37">
        <v>0</v>
      </c>
      <c r="G78" s="96"/>
      <c r="H78" s="77"/>
      <c r="I78" s="77"/>
      <c r="J78" s="72"/>
    </row>
    <row r="79" spans="2:10" ht="15" thickBot="1" x14ac:dyDescent="0.35">
      <c r="B79" s="43"/>
      <c r="C79" s="48"/>
      <c r="D79" s="44"/>
      <c r="E79" s="45" t="s">
        <v>77</v>
      </c>
      <c r="F79" s="49">
        <f>PV(F76/12,F75,F77,F78,D77)</f>
        <v>691289.38223961508</v>
      </c>
      <c r="G79" s="128"/>
      <c r="H79" s="78"/>
      <c r="I79" s="78"/>
      <c r="J79" s="74"/>
    </row>
    <row r="80" spans="2:10" x14ac:dyDescent="0.3">
      <c r="B80" s="28" t="s">
        <v>85</v>
      </c>
      <c r="C80" s="29" t="s">
        <v>2</v>
      </c>
      <c r="D80" s="30">
        <v>14</v>
      </c>
      <c r="E80" s="31" t="s">
        <v>2</v>
      </c>
      <c r="F80" s="32"/>
      <c r="G80" s="129"/>
      <c r="H80" s="75"/>
      <c r="I80" s="75"/>
      <c r="J80" s="76"/>
    </row>
    <row r="81" spans="2:10" x14ac:dyDescent="0.3">
      <c r="B81" s="7"/>
      <c r="C81" s="34" t="s">
        <v>78</v>
      </c>
      <c r="D81" s="35">
        <v>1</v>
      </c>
      <c r="E81" s="23" t="s">
        <v>73</v>
      </c>
      <c r="F81" s="36">
        <f>D80-C6</f>
        <v>9</v>
      </c>
      <c r="G81" s="96"/>
      <c r="H81" s="77"/>
      <c r="I81" s="77"/>
      <c r="J81" s="72"/>
    </row>
    <row r="82" spans="2:10" x14ac:dyDescent="0.3">
      <c r="B82" s="7"/>
      <c r="C82" s="34"/>
      <c r="D82" s="23"/>
      <c r="E82" s="23" t="s">
        <v>74</v>
      </c>
      <c r="F82" s="178">
        <f>F76</f>
        <v>1.4705882352941124E-2</v>
      </c>
      <c r="G82" s="99" t="s">
        <v>122</v>
      </c>
      <c r="H82" s="71"/>
      <c r="I82" s="71"/>
      <c r="J82" s="72"/>
    </row>
    <row r="83" spans="2:10" x14ac:dyDescent="0.3">
      <c r="B83" s="7"/>
      <c r="C83" s="34"/>
      <c r="D83" s="23"/>
      <c r="E83" s="23" t="s">
        <v>75</v>
      </c>
      <c r="F83" s="37">
        <f>-K52/2</f>
        <v>-4998</v>
      </c>
      <c r="G83" s="96"/>
      <c r="H83" s="71"/>
      <c r="I83" s="71"/>
      <c r="J83" s="72"/>
    </row>
    <row r="84" spans="2:10" x14ac:dyDescent="0.3">
      <c r="B84" s="7"/>
      <c r="C84" s="34"/>
      <c r="D84" s="23"/>
      <c r="E84" s="23" t="s">
        <v>76</v>
      </c>
      <c r="F84" s="37">
        <v>0</v>
      </c>
      <c r="G84" s="96"/>
      <c r="H84" s="71"/>
      <c r="I84" s="71"/>
      <c r="J84" s="72"/>
    </row>
    <row r="85" spans="2:10" ht="15" thickBot="1" x14ac:dyDescent="0.35">
      <c r="B85" s="43"/>
      <c r="C85" s="48"/>
      <c r="D85" s="44"/>
      <c r="E85" s="45" t="s">
        <v>77</v>
      </c>
      <c r="F85" s="49">
        <f>PV(F82/D81,F81,F83,F84,D77)</f>
        <v>41845.268235961121</v>
      </c>
      <c r="G85" s="128"/>
      <c r="H85" s="73"/>
      <c r="I85" s="73"/>
      <c r="J85" s="74"/>
    </row>
    <row r="86" spans="2:10" x14ac:dyDescent="0.3">
      <c r="B86" s="28" t="s">
        <v>85</v>
      </c>
      <c r="C86" s="29" t="s">
        <v>3</v>
      </c>
      <c r="D86" s="50">
        <f>D80</f>
        <v>14</v>
      </c>
      <c r="E86" s="31" t="s">
        <v>3</v>
      </c>
      <c r="F86" s="32"/>
      <c r="G86" s="129"/>
      <c r="H86" s="79"/>
      <c r="I86" s="79"/>
      <c r="J86" s="76"/>
    </row>
    <row r="87" spans="2:10" x14ac:dyDescent="0.3">
      <c r="B87" s="7"/>
      <c r="C87" s="34" t="s">
        <v>78</v>
      </c>
      <c r="D87" s="23">
        <v>1</v>
      </c>
      <c r="E87" s="23" t="s">
        <v>73</v>
      </c>
      <c r="F87" s="36">
        <f>D86-C7</f>
        <v>7</v>
      </c>
      <c r="G87" s="96"/>
      <c r="H87" s="71"/>
      <c r="I87" s="71"/>
      <c r="J87" s="72"/>
    </row>
    <row r="88" spans="2:10" x14ac:dyDescent="0.3">
      <c r="B88" s="7"/>
      <c r="C88" s="34"/>
      <c r="D88" s="23"/>
      <c r="E88" s="23" t="s">
        <v>74</v>
      </c>
      <c r="F88" s="178">
        <f>F82</f>
        <v>1.4705882352941124E-2</v>
      </c>
      <c r="G88" s="99" t="s">
        <v>122</v>
      </c>
      <c r="H88" s="71"/>
      <c r="I88" s="71"/>
      <c r="J88" s="72"/>
    </row>
    <row r="89" spans="2:10" x14ac:dyDescent="0.3">
      <c r="B89" s="7"/>
      <c r="C89" s="34"/>
      <c r="D89" s="23"/>
      <c r="E89" s="23" t="s">
        <v>75</v>
      </c>
      <c r="F89" s="37">
        <f>F83</f>
        <v>-4998</v>
      </c>
      <c r="G89" s="96"/>
      <c r="H89" s="71"/>
      <c r="I89" s="71"/>
      <c r="J89" s="72"/>
    </row>
    <row r="90" spans="2:10" x14ac:dyDescent="0.3">
      <c r="B90" s="7"/>
      <c r="C90" s="34"/>
      <c r="D90" s="23"/>
      <c r="E90" s="23" t="s">
        <v>76</v>
      </c>
      <c r="F90" s="37">
        <v>0</v>
      </c>
      <c r="G90" s="96"/>
      <c r="H90" s="71"/>
      <c r="I90" s="71"/>
      <c r="J90" s="72"/>
    </row>
    <row r="91" spans="2:10" ht="15" thickBot="1" x14ac:dyDescent="0.35">
      <c r="B91" s="7"/>
      <c r="C91" s="34"/>
      <c r="D91" s="23"/>
      <c r="E91" s="41" t="s">
        <v>77</v>
      </c>
      <c r="F91" s="42">
        <f>PV(F88/D87,F87,F89,F90,D77)</f>
        <v>33015.561001602677</v>
      </c>
      <c r="G91" s="96"/>
      <c r="H91" s="71"/>
      <c r="I91" s="71"/>
      <c r="J91" s="72"/>
    </row>
    <row r="92" spans="2:10" ht="15" thickBot="1" x14ac:dyDescent="0.35">
      <c r="B92" s="52"/>
      <c r="C92" s="53"/>
      <c r="D92" s="54"/>
      <c r="E92" s="55" t="s">
        <v>86</v>
      </c>
      <c r="F92" s="56">
        <f>F79+F85+F91</f>
        <v>766150.21147717885</v>
      </c>
      <c r="G92" s="130">
        <f>F92</f>
        <v>766150.21147717885</v>
      </c>
      <c r="H92" s="80"/>
      <c r="I92" s="80"/>
      <c r="J92" s="81"/>
    </row>
    <row r="93" spans="2:10" ht="15" thickBot="1" x14ac:dyDescent="0.35">
      <c r="G93" s="103"/>
    </row>
    <row r="94" spans="2:10" x14ac:dyDescent="0.3">
      <c r="E94" s="189" t="s">
        <v>96</v>
      </c>
      <c r="F94" s="190"/>
      <c r="G94" s="198" t="s">
        <v>133</v>
      </c>
    </row>
    <row r="95" spans="2:10" x14ac:dyDescent="0.3">
      <c r="E95" s="7" t="s">
        <v>73</v>
      </c>
      <c r="F95" s="194">
        <f>D100-C6</f>
        <v>13</v>
      </c>
      <c r="G95" s="38"/>
    </row>
    <row r="96" spans="2:10" x14ac:dyDescent="0.3">
      <c r="E96" s="7" t="s">
        <v>74</v>
      </c>
      <c r="F96" s="202">
        <f>C31</f>
        <v>0.05</v>
      </c>
      <c r="G96" s="208" t="s">
        <v>136</v>
      </c>
    </row>
    <row r="97" spans="2:10" x14ac:dyDescent="0.3">
      <c r="E97" s="7" t="s">
        <v>93</v>
      </c>
      <c r="F97" s="38">
        <f>C30</f>
        <v>10000</v>
      </c>
      <c r="G97" s="38"/>
    </row>
    <row r="98" spans="2:10" x14ac:dyDescent="0.3">
      <c r="E98" s="7" t="s">
        <v>75</v>
      </c>
      <c r="F98" s="38">
        <v>0</v>
      </c>
      <c r="G98" s="38"/>
    </row>
    <row r="99" spans="2:10" ht="15" thickBot="1" x14ac:dyDescent="0.35">
      <c r="E99" s="15" t="s">
        <v>94</v>
      </c>
      <c r="F99" s="196">
        <f>FV(F96/D101,F95,F98,F97)</f>
        <v>-18856.491423232361</v>
      </c>
      <c r="G99" s="65"/>
    </row>
    <row r="100" spans="2:10" x14ac:dyDescent="0.3">
      <c r="B100" s="4" t="s">
        <v>87</v>
      </c>
      <c r="C100" s="61" t="s">
        <v>91</v>
      </c>
      <c r="D100" s="30">
        <v>18</v>
      </c>
      <c r="E100" s="31" t="s">
        <v>2</v>
      </c>
      <c r="F100" s="62"/>
      <c r="G100" s="198" t="s">
        <v>134</v>
      </c>
    </row>
    <row r="101" spans="2:10" x14ac:dyDescent="0.3">
      <c r="B101" s="7"/>
      <c r="C101" s="63" t="s">
        <v>78</v>
      </c>
      <c r="D101" s="35">
        <v>1</v>
      </c>
      <c r="E101" s="23" t="s">
        <v>73</v>
      </c>
      <c r="F101" s="194">
        <f>C33</f>
        <v>4</v>
      </c>
      <c r="G101" s="207" t="s">
        <v>137</v>
      </c>
    </row>
    <row r="102" spans="2:10" x14ac:dyDescent="0.3">
      <c r="B102" s="7"/>
      <c r="C102" s="206" t="s">
        <v>81</v>
      </c>
      <c r="D102" s="166">
        <v>1</v>
      </c>
      <c r="E102" s="23" t="s">
        <v>74</v>
      </c>
      <c r="F102" s="203">
        <f>F96</f>
        <v>0.05</v>
      </c>
      <c r="G102" s="207" t="s">
        <v>118</v>
      </c>
    </row>
    <row r="103" spans="2:10" x14ac:dyDescent="0.3">
      <c r="B103" s="7"/>
      <c r="C103" s="63"/>
      <c r="D103" s="23"/>
      <c r="E103" s="23" t="s">
        <v>75</v>
      </c>
      <c r="F103" s="204">
        <f>F99</f>
        <v>-18856.491423232361</v>
      </c>
      <c r="G103" s="38"/>
    </row>
    <row r="104" spans="2:10" x14ac:dyDescent="0.3">
      <c r="B104" s="7"/>
      <c r="C104" s="63"/>
      <c r="D104" s="23"/>
      <c r="E104" s="23" t="s">
        <v>76</v>
      </c>
      <c r="F104" s="205">
        <v>0</v>
      </c>
      <c r="G104" s="207" t="s">
        <v>137</v>
      </c>
    </row>
    <row r="105" spans="2:10" ht="15" thickBot="1" x14ac:dyDescent="0.35">
      <c r="B105" s="7"/>
      <c r="C105" s="64" t="s">
        <v>97</v>
      </c>
      <c r="D105" s="44"/>
      <c r="E105" s="45" t="s">
        <v>77</v>
      </c>
      <c r="F105" s="196">
        <f>PV(F102/D101,F101,F103,F104,D102)</f>
        <v>70207.394532391219</v>
      </c>
      <c r="G105" s="209" t="s">
        <v>120</v>
      </c>
    </row>
    <row r="106" spans="2:10" x14ac:dyDescent="0.3">
      <c r="B106" s="7"/>
      <c r="C106" s="61" t="s">
        <v>78</v>
      </c>
      <c r="D106" s="50">
        <v>1</v>
      </c>
      <c r="E106" s="50" t="s">
        <v>73</v>
      </c>
      <c r="F106" s="66">
        <f>F95</f>
        <v>13</v>
      </c>
      <c r="G106" s="198" t="s">
        <v>135</v>
      </c>
      <c r="H106" s="71"/>
      <c r="I106" s="71"/>
      <c r="J106" s="72"/>
    </row>
    <row r="107" spans="2:10" x14ac:dyDescent="0.3">
      <c r="B107" s="7"/>
      <c r="C107" s="63" t="s">
        <v>80</v>
      </c>
      <c r="D107" s="166">
        <v>0</v>
      </c>
      <c r="E107" s="23" t="s">
        <v>74</v>
      </c>
      <c r="F107" s="176">
        <f>C24</f>
        <v>3.4999999999999996E-2</v>
      </c>
      <c r="G107" s="99" t="s">
        <v>119</v>
      </c>
      <c r="H107" s="71"/>
      <c r="I107" s="71"/>
      <c r="J107" s="72"/>
    </row>
    <row r="108" spans="2:10" x14ac:dyDescent="0.3">
      <c r="B108" s="7"/>
      <c r="C108" s="63"/>
      <c r="D108" s="23"/>
      <c r="E108" s="23" t="s">
        <v>75</v>
      </c>
      <c r="F108" s="124">
        <v>0</v>
      </c>
      <c r="G108" s="96"/>
      <c r="H108" s="71"/>
      <c r="I108" s="71"/>
      <c r="J108" s="72"/>
    </row>
    <row r="109" spans="2:10" x14ac:dyDescent="0.3">
      <c r="B109" s="7"/>
      <c r="C109" s="63"/>
      <c r="D109" s="23"/>
      <c r="E109" s="23" t="s">
        <v>76</v>
      </c>
      <c r="F109" s="40">
        <f>F105</f>
        <v>70207.394532391219</v>
      </c>
      <c r="G109" s="96"/>
      <c r="H109" s="71"/>
      <c r="I109" s="71"/>
      <c r="J109" s="72"/>
    </row>
    <row r="110" spans="2:10" x14ac:dyDescent="0.3">
      <c r="B110" s="7"/>
      <c r="C110" s="67" t="s">
        <v>98</v>
      </c>
      <c r="D110" s="23"/>
      <c r="E110" s="41" t="s">
        <v>77</v>
      </c>
      <c r="F110" s="42">
        <f>PV(F107/D106,F106,F108,F109,D107)</f>
        <v>-44890.899630852204</v>
      </c>
      <c r="G110" s="96" t="s">
        <v>121</v>
      </c>
      <c r="H110" s="71"/>
      <c r="I110" s="71"/>
      <c r="J110" s="72"/>
    </row>
    <row r="111" spans="2:10" x14ac:dyDescent="0.3">
      <c r="B111" s="7"/>
      <c r="C111" s="67"/>
      <c r="D111" s="23"/>
      <c r="E111" s="41" t="s">
        <v>99</v>
      </c>
      <c r="F111" s="47">
        <f>C35</f>
        <v>15000</v>
      </c>
      <c r="G111" s="96"/>
      <c r="H111" s="71"/>
      <c r="I111" s="71"/>
      <c r="J111" s="72"/>
    </row>
    <row r="112" spans="2:10" ht="15" thickBot="1" x14ac:dyDescent="0.35">
      <c r="B112" s="43"/>
      <c r="C112" s="68"/>
      <c r="D112" s="44"/>
      <c r="E112" s="45" t="s">
        <v>98</v>
      </c>
      <c r="F112" s="49">
        <f>SUM(F110:F111)</f>
        <v>-29890.899630852204</v>
      </c>
      <c r="G112" s="128"/>
      <c r="H112" s="73"/>
      <c r="I112" s="73"/>
      <c r="J112" s="74"/>
    </row>
    <row r="113" spans="2:10" x14ac:dyDescent="0.3">
      <c r="B113" s="7"/>
      <c r="C113" s="61"/>
      <c r="D113" s="50"/>
      <c r="E113" s="188" t="s">
        <v>96</v>
      </c>
      <c r="F113" s="190"/>
      <c r="G113" s="198" t="s">
        <v>133</v>
      </c>
      <c r="H113" s="71"/>
      <c r="I113" s="71"/>
      <c r="J113" s="72"/>
    </row>
    <row r="114" spans="2:10" x14ac:dyDescent="0.3">
      <c r="B114" s="7"/>
      <c r="C114" s="63"/>
      <c r="D114" s="23"/>
      <c r="E114" s="23" t="s">
        <v>73</v>
      </c>
      <c r="F114" s="194">
        <f>D119-C7</f>
        <v>11</v>
      </c>
      <c r="G114" s="38"/>
      <c r="H114" s="71"/>
      <c r="I114" s="71"/>
      <c r="J114" s="72"/>
    </row>
    <row r="115" spans="2:10" x14ac:dyDescent="0.3">
      <c r="B115" s="7"/>
      <c r="C115" s="63"/>
      <c r="D115" s="23"/>
      <c r="E115" s="23" t="s">
        <v>74</v>
      </c>
      <c r="F115" s="202">
        <f>F96</f>
        <v>0.05</v>
      </c>
      <c r="G115" s="38" t="s">
        <v>40</v>
      </c>
      <c r="H115" s="71"/>
      <c r="I115" s="71"/>
      <c r="J115" s="72"/>
    </row>
    <row r="116" spans="2:10" x14ac:dyDescent="0.3">
      <c r="B116" s="7"/>
      <c r="C116" s="63"/>
      <c r="D116" s="23"/>
      <c r="E116" s="23" t="s">
        <v>93</v>
      </c>
      <c r="F116" s="38">
        <f>F97</f>
        <v>10000</v>
      </c>
      <c r="G116" s="38"/>
      <c r="H116" s="71"/>
      <c r="I116" s="71"/>
      <c r="J116" s="72"/>
    </row>
    <row r="117" spans="2:10" x14ac:dyDescent="0.3">
      <c r="B117" s="7"/>
      <c r="C117" s="63"/>
      <c r="D117" s="23"/>
      <c r="E117" s="23" t="s">
        <v>75</v>
      </c>
      <c r="F117" s="38">
        <v>0</v>
      </c>
      <c r="G117" s="38"/>
      <c r="H117" s="71"/>
      <c r="I117" s="71"/>
      <c r="J117" s="72"/>
    </row>
    <row r="118" spans="2:10" ht="15" thickBot="1" x14ac:dyDescent="0.35">
      <c r="B118" s="7"/>
      <c r="C118" s="68"/>
      <c r="D118" s="44"/>
      <c r="E118" s="45" t="s">
        <v>94</v>
      </c>
      <c r="F118" s="196">
        <f>FV(F115/D120,F114,F117,F116,0)</f>
        <v>-17103.393581163138</v>
      </c>
      <c r="G118" s="65"/>
      <c r="H118" s="71"/>
      <c r="I118" s="71"/>
      <c r="J118" s="72"/>
    </row>
    <row r="119" spans="2:10" x14ac:dyDescent="0.3">
      <c r="B119" s="4" t="s">
        <v>87</v>
      </c>
      <c r="C119" s="61" t="s">
        <v>92</v>
      </c>
      <c r="D119" s="50">
        <f>D100</f>
        <v>18</v>
      </c>
      <c r="E119" s="31" t="s">
        <v>3</v>
      </c>
      <c r="F119" s="62"/>
      <c r="G119" s="198" t="s">
        <v>134</v>
      </c>
    </row>
    <row r="120" spans="2:10" x14ac:dyDescent="0.3">
      <c r="B120" s="7"/>
      <c r="C120" s="63" t="s">
        <v>78</v>
      </c>
      <c r="D120" s="23">
        <f>D101</f>
        <v>1</v>
      </c>
      <c r="E120" s="23" t="s">
        <v>73</v>
      </c>
      <c r="F120" s="194">
        <f>F101</f>
        <v>4</v>
      </c>
      <c r="G120" s="207" t="s">
        <v>137</v>
      </c>
    </row>
    <row r="121" spans="2:10" x14ac:dyDescent="0.3">
      <c r="B121" s="7"/>
      <c r="C121" s="63" t="s">
        <v>81</v>
      </c>
      <c r="D121" s="166">
        <v>1</v>
      </c>
      <c r="E121" s="23" t="s">
        <v>74</v>
      </c>
      <c r="F121" s="203">
        <f>F102</f>
        <v>0.05</v>
      </c>
      <c r="G121" s="207" t="s">
        <v>118</v>
      </c>
    </row>
    <row r="122" spans="2:10" x14ac:dyDescent="0.3">
      <c r="B122" s="7"/>
      <c r="C122" s="63"/>
      <c r="D122" s="23"/>
      <c r="E122" s="23" t="s">
        <v>75</v>
      </c>
      <c r="F122" s="204">
        <f>F118</f>
        <v>-17103.393581163138</v>
      </c>
      <c r="G122" s="38"/>
    </row>
    <row r="123" spans="2:10" x14ac:dyDescent="0.3">
      <c r="B123" s="7"/>
      <c r="C123" s="63"/>
      <c r="D123" s="23"/>
      <c r="E123" s="23" t="s">
        <v>76</v>
      </c>
      <c r="F123" s="205">
        <v>0</v>
      </c>
      <c r="G123" s="207" t="s">
        <v>137</v>
      </c>
    </row>
    <row r="124" spans="2:10" ht="15" thickBot="1" x14ac:dyDescent="0.35">
      <c r="B124" s="7"/>
      <c r="C124" s="64" t="str">
        <f>C105</f>
        <v xml:space="preserve">Cost all 4 years </v>
      </c>
      <c r="D124" s="44"/>
      <c r="E124" s="45" t="s">
        <v>77</v>
      </c>
      <c r="F124" s="196">
        <f>PV(F121/D120,F120,F122,F123,D121)</f>
        <v>63680.176446613339</v>
      </c>
      <c r="G124" s="209" t="s">
        <v>120</v>
      </c>
    </row>
    <row r="125" spans="2:10" x14ac:dyDescent="0.3">
      <c r="B125" s="7"/>
      <c r="C125" s="61" t="s">
        <v>78</v>
      </c>
      <c r="D125" s="50">
        <f>D120</f>
        <v>1</v>
      </c>
      <c r="E125" s="50" t="s">
        <v>73</v>
      </c>
      <c r="F125" s="66">
        <f>F114</f>
        <v>11</v>
      </c>
      <c r="G125" s="198" t="s">
        <v>135</v>
      </c>
      <c r="H125" s="71"/>
      <c r="I125" s="71"/>
      <c r="J125" s="72"/>
    </row>
    <row r="126" spans="2:10" x14ac:dyDescent="0.3">
      <c r="B126" s="7"/>
      <c r="C126" s="63" t="s">
        <v>80</v>
      </c>
      <c r="D126" s="166">
        <v>0</v>
      </c>
      <c r="E126" s="23" t="s">
        <v>74</v>
      </c>
      <c r="F126" s="176">
        <f>F107</f>
        <v>3.4999999999999996E-2</v>
      </c>
      <c r="G126" s="99" t="s">
        <v>119</v>
      </c>
      <c r="H126" s="71"/>
      <c r="I126" s="71"/>
      <c r="J126" s="72"/>
    </row>
    <row r="127" spans="2:10" x14ac:dyDescent="0.3">
      <c r="B127" s="7"/>
      <c r="C127" s="63"/>
      <c r="D127" s="23"/>
      <c r="E127" s="23" t="s">
        <v>75</v>
      </c>
      <c r="F127" s="124">
        <v>0</v>
      </c>
      <c r="G127" s="96"/>
      <c r="H127" s="71"/>
      <c r="I127" s="71"/>
      <c r="J127" s="72"/>
    </row>
    <row r="128" spans="2:10" x14ac:dyDescent="0.3">
      <c r="B128" s="7"/>
      <c r="C128" s="63"/>
      <c r="D128" s="23"/>
      <c r="E128" s="23" t="s">
        <v>76</v>
      </c>
      <c r="F128" s="40">
        <f>F124</f>
        <v>63680.176446613339</v>
      </c>
      <c r="G128" s="96"/>
      <c r="H128" s="71"/>
      <c r="I128" s="71"/>
      <c r="J128" s="72"/>
    </row>
    <row r="129" spans="2:10" x14ac:dyDescent="0.3">
      <c r="B129" s="7"/>
      <c r="C129" s="67" t="s">
        <v>98</v>
      </c>
      <c r="D129" s="23"/>
      <c r="E129" s="41" t="s">
        <v>77</v>
      </c>
      <c r="F129" s="42">
        <f>PV(F126/D125,F125,F127,F128,D126)</f>
        <v>-43617.463906630051</v>
      </c>
      <c r="G129" s="96"/>
      <c r="H129" s="71"/>
      <c r="I129" s="71"/>
      <c r="J129" s="72"/>
    </row>
    <row r="130" spans="2:10" x14ac:dyDescent="0.3">
      <c r="B130" s="7"/>
      <c r="C130" s="63"/>
      <c r="D130" s="23"/>
      <c r="E130" s="41" t="s">
        <v>99</v>
      </c>
      <c r="F130" s="47">
        <f>C36</f>
        <v>20000</v>
      </c>
      <c r="G130" s="103"/>
      <c r="H130" s="71"/>
      <c r="I130" s="71"/>
      <c r="J130" s="72"/>
    </row>
    <row r="131" spans="2:10" ht="15" thickBot="1" x14ac:dyDescent="0.35">
      <c r="B131" s="7"/>
      <c r="C131" s="68"/>
      <c r="D131" s="44"/>
      <c r="E131" s="45" t="s">
        <v>98</v>
      </c>
      <c r="F131" s="49">
        <f>SUM(F129:F130)</f>
        <v>-23617.463906630051</v>
      </c>
      <c r="G131" s="131"/>
      <c r="H131" s="71"/>
      <c r="I131" s="71"/>
      <c r="J131" s="72"/>
    </row>
    <row r="132" spans="2:10" ht="15" thickBot="1" x14ac:dyDescent="0.35">
      <c r="B132" s="52"/>
      <c r="C132" s="69"/>
      <c r="D132" s="54"/>
      <c r="E132" s="55" t="s">
        <v>87</v>
      </c>
      <c r="F132" s="56">
        <f>-F112-F131</f>
        <v>53508.363537482255</v>
      </c>
      <c r="G132" s="130">
        <f>F132</f>
        <v>53508.363537482255</v>
      </c>
      <c r="H132" s="80"/>
      <c r="I132" s="80"/>
      <c r="J132" s="81"/>
    </row>
    <row r="133" spans="2:10" ht="43.2" x14ac:dyDescent="0.3">
      <c r="C133" s="113" t="s">
        <v>108</v>
      </c>
      <c r="D133" s="50"/>
      <c r="E133" s="50"/>
      <c r="F133" s="114" t="str">
        <f>F63</f>
        <v>Spouse 1</v>
      </c>
      <c r="G133" s="132" t="str">
        <f>G63</f>
        <v>Spouse 2</v>
      </c>
    </row>
    <row r="134" spans="2:10" x14ac:dyDescent="0.3">
      <c r="C134" s="63" t="s">
        <v>78</v>
      </c>
      <c r="D134" s="23">
        <v>12</v>
      </c>
      <c r="E134" s="23" t="s">
        <v>73</v>
      </c>
      <c r="F134" s="116">
        <f>(C28-C4)*D134</f>
        <v>360</v>
      </c>
      <c r="G134" s="133">
        <f>(C28-C3)*D134</f>
        <v>384</v>
      </c>
    </row>
    <row r="135" spans="2:10" x14ac:dyDescent="0.3">
      <c r="C135" s="63"/>
      <c r="D135" s="23"/>
      <c r="E135" s="23" t="s">
        <v>74</v>
      </c>
      <c r="F135" s="161">
        <f>C24</f>
        <v>3.4999999999999996E-2</v>
      </c>
      <c r="G135" s="162">
        <f>F135</f>
        <v>3.4999999999999996E-2</v>
      </c>
      <c r="H135" t="s">
        <v>126</v>
      </c>
    </row>
    <row r="136" spans="2:10" ht="15" thickBot="1" x14ac:dyDescent="0.35">
      <c r="C136" s="63" t="s">
        <v>27</v>
      </c>
      <c r="D136" s="23"/>
      <c r="E136" s="23" t="s">
        <v>93</v>
      </c>
      <c r="F136" s="118">
        <f>-F8</f>
        <v>-6700</v>
      </c>
      <c r="G136" s="135">
        <f>F136</f>
        <v>-6700</v>
      </c>
    </row>
    <row r="137" spans="2:10" ht="29.4" thickBot="1" x14ac:dyDescent="0.35">
      <c r="C137" s="63"/>
      <c r="D137" s="23"/>
      <c r="E137" s="23" t="s">
        <v>75</v>
      </c>
      <c r="F137" s="86">
        <f>-H54</f>
        <v>-400</v>
      </c>
      <c r="G137" s="136">
        <v>-1000</v>
      </c>
      <c r="H137" s="119" t="s">
        <v>103</v>
      </c>
    </row>
    <row r="138" spans="2:10" ht="15" thickBot="1" x14ac:dyDescent="0.35">
      <c r="C138" s="68"/>
      <c r="D138" s="44"/>
      <c r="E138" s="45" t="s">
        <v>94</v>
      </c>
      <c r="F138" s="125">
        <f>FV(F135/D134,F134,F137,F136,D77)</f>
        <v>273282.12094794237</v>
      </c>
      <c r="G138" s="137">
        <f>FV(G135/D134,G134,G137,G136,D77)</f>
        <v>726739.49545846367</v>
      </c>
      <c r="H138" s="2"/>
    </row>
    <row r="139" spans="2:10" x14ac:dyDescent="0.3">
      <c r="C139" s="61" t="s">
        <v>78</v>
      </c>
      <c r="D139" s="50">
        <v>1</v>
      </c>
      <c r="E139" s="50" t="s">
        <v>73</v>
      </c>
      <c r="F139" s="50">
        <f>F134/D134</f>
        <v>30</v>
      </c>
      <c r="G139" s="138">
        <f>G134/D134</f>
        <v>32</v>
      </c>
    </row>
    <row r="140" spans="2:10" x14ac:dyDescent="0.3">
      <c r="C140" s="63"/>
      <c r="D140" s="23"/>
      <c r="E140" s="23" t="s">
        <v>74</v>
      </c>
      <c r="F140" s="163">
        <f>F135</f>
        <v>3.4999999999999996E-2</v>
      </c>
      <c r="G140" s="164">
        <f>G135</f>
        <v>3.4999999999999996E-2</v>
      </c>
      <c r="H140" t="s">
        <v>126</v>
      </c>
    </row>
    <row r="141" spans="2:10" x14ac:dyDescent="0.3">
      <c r="C141" s="63"/>
      <c r="D141" s="23"/>
      <c r="E141" s="23" t="s">
        <v>75</v>
      </c>
      <c r="F141" s="93">
        <v>0</v>
      </c>
      <c r="G141" s="98">
        <v>0</v>
      </c>
    </row>
    <row r="142" spans="2:10" x14ac:dyDescent="0.3">
      <c r="C142" s="63"/>
      <c r="D142" s="23"/>
      <c r="E142" s="23" t="s">
        <v>76</v>
      </c>
      <c r="F142" s="122">
        <f>-F138</f>
        <v>-273282.12094794237</v>
      </c>
      <c r="G142" s="140">
        <f>-G138</f>
        <v>-726739.49545846367</v>
      </c>
    </row>
    <row r="143" spans="2:10" ht="15" thickBot="1" x14ac:dyDescent="0.35">
      <c r="C143" s="68"/>
      <c r="D143" s="44"/>
      <c r="E143" s="45" t="s">
        <v>77</v>
      </c>
      <c r="F143" s="51">
        <f>PV(F140/D139,F139,F141,F142,D77)</f>
        <v>97364.519697359065</v>
      </c>
      <c r="G143" s="141">
        <f>PV(G140/D139,G139,G141,G142,D77)</f>
        <v>241706.07702757185</v>
      </c>
    </row>
    <row r="144" spans="2:10" ht="28.8" x14ac:dyDescent="0.3">
      <c r="C144" s="113" t="s">
        <v>104</v>
      </c>
      <c r="D144" s="50"/>
      <c r="E144" s="50"/>
      <c r="F144" s="115" t="str">
        <f>F133</f>
        <v>Spouse 1</v>
      </c>
      <c r="G144" s="115" t="str">
        <f>G133</f>
        <v>Spouse 2</v>
      </c>
    </row>
    <row r="145" spans="3:7" x14ac:dyDescent="0.3">
      <c r="C145" s="63"/>
      <c r="D145" s="23" t="s">
        <v>112</v>
      </c>
      <c r="E145" s="23" t="s">
        <v>64</v>
      </c>
      <c r="F145" s="120">
        <f>F68</f>
        <v>336000</v>
      </c>
      <c r="G145" s="120">
        <f>G68</f>
        <v>336000</v>
      </c>
    </row>
    <row r="146" spans="3:7" x14ac:dyDescent="0.3">
      <c r="C146" s="63"/>
      <c r="D146" s="23" t="s">
        <v>110</v>
      </c>
      <c r="E146" s="23" t="s">
        <v>105</v>
      </c>
      <c r="F146" s="123">
        <f>F92</f>
        <v>766150.21147717885</v>
      </c>
      <c r="G146" s="123">
        <f>G92</f>
        <v>766150.21147717885</v>
      </c>
    </row>
    <row r="147" spans="3:7" x14ac:dyDescent="0.3">
      <c r="C147" s="63"/>
      <c r="D147" s="23" t="s">
        <v>111</v>
      </c>
      <c r="E147" s="23" t="s">
        <v>87</v>
      </c>
      <c r="F147" s="123">
        <f>F132</f>
        <v>53508.363537482255</v>
      </c>
      <c r="G147" s="123">
        <f>G132</f>
        <v>53508.363537482255</v>
      </c>
    </row>
    <row r="148" spans="3:7" ht="28.8" x14ac:dyDescent="0.3">
      <c r="C148" s="63"/>
      <c r="D148" s="210" t="s">
        <v>110</v>
      </c>
      <c r="E148" s="142" t="s">
        <v>106</v>
      </c>
      <c r="F148" s="123">
        <f>F143</f>
        <v>97364.519697359065</v>
      </c>
      <c r="G148" s="123">
        <f>G143</f>
        <v>241706.07702757185</v>
      </c>
    </row>
    <row r="149" spans="3:7" ht="16.2" x14ac:dyDescent="0.45">
      <c r="C149" s="63"/>
      <c r="D149" s="210" t="s">
        <v>139</v>
      </c>
      <c r="E149" s="23" t="s">
        <v>138</v>
      </c>
      <c r="F149" s="143">
        <f>C42</f>
        <v>200000</v>
      </c>
      <c r="G149" s="143">
        <f>F149</f>
        <v>200000</v>
      </c>
    </row>
    <row r="150" spans="3:7" ht="15" thickBot="1" x14ac:dyDescent="0.35">
      <c r="C150" s="68"/>
      <c r="D150" s="44"/>
      <c r="E150" s="44"/>
      <c r="F150" s="145">
        <f>SUM(F145:F149)</f>
        <v>1453023.0947120201</v>
      </c>
      <c r="G150" s="145">
        <f>SUM(G145:G149)</f>
        <v>1597364.6520422329</v>
      </c>
    </row>
    <row r="152" spans="3:7" ht="16.2" customHeight="1" x14ac:dyDescent="0.3"/>
  </sheetData>
  <mergeCells count="6">
    <mergeCell ref="B2:C2"/>
    <mergeCell ref="E2:I2"/>
    <mergeCell ref="F28:G28"/>
    <mergeCell ref="I28:J28"/>
    <mergeCell ref="E94:F94"/>
    <mergeCell ref="E113:F11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3908-0A38-4F3A-832D-FC014C7A553F}">
  <dimension ref="A1:K138"/>
  <sheetViews>
    <sheetView topLeftCell="A73" zoomScale="60" zoomScaleNormal="60" workbookViewId="0">
      <selection activeCell="F77" sqref="F77"/>
    </sheetView>
  </sheetViews>
  <sheetFormatPr defaultRowHeight="14.4" x14ac:dyDescent="0.3"/>
  <cols>
    <col min="1" max="1" width="4" customWidth="1"/>
    <col min="2" max="2" width="17.33203125" bestFit="1" customWidth="1"/>
    <col min="3" max="3" width="21" style="1" bestFit="1" customWidth="1"/>
    <col min="4" max="4" width="4.5546875" bestFit="1" customWidth="1"/>
    <col min="5" max="5" width="25" bestFit="1" customWidth="1"/>
    <col min="6" max="7" width="14.6640625" bestFit="1" customWidth="1"/>
    <col min="8" max="8" width="11.5546875" bestFit="1" customWidth="1"/>
    <col min="9" max="10" width="12.109375" bestFit="1" customWidth="1"/>
    <col min="11" max="11" width="12.6640625" bestFit="1" customWidth="1"/>
  </cols>
  <sheetData>
    <row r="1" spans="2:9" ht="15" thickBot="1" x14ac:dyDescent="0.35"/>
    <row r="2" spans="2:9" ht="15" thickBot="1" x14ac:dyDescent="0.35">
      <c r="B2" s="189" t="s">
        <v>102</v>
      </c>
      <c r="C2" s="190"/>
      <c r="E2" s="191" t="s">
        <v>17</v>
      </c>
      <c r="F2" s="192"/>
      <c r="G2" s="192"/>
      <c r="H2" s="192"/>
      <c r="I2" s="193"/>
    </row>
    <row r="3" spans="2:9" x14ac:dyDescent="0.3">
      <c r="B3" s="7" t="s">
        <v>0</v>
      </c>
      <c r="C3" s="104">
        <v>33</v>
      </c>
      <c r="E3" s="4" t="s">
        <v>28</v>
      </c>
      <c r="F3" s="149" t="str">
        <f>B3</f>
        <v>Pat</v>
      </c>
      <c r="G3" s="149" t="str">
        <f>B4</f>
        <v>Leslie</v>
      </c>
      <c r="H3" s="149" t="s">
        <v>19</v>
      </c>
      <c r="I3" s="148" t="s">
        <v>20</v>
      </c>
    </row>
    <row r="4" spans="2:9" x14ac:dyDescent="0.3">
      <c r="B4" s="7" t="s">
        <v>1</v>
      </c>
      <c r="C4" s="104">
        <v>35</v>
      </c>
      <c r="E4" s="7" t="s">
        <v>24</v>
      </c>
      <c r="F4" s="27">
        <v>0</v>
      </c>
      <c r="G4" s="27">
        <v>0</v>
      </c>
      <c r="H4" s="27">
        <v>2000</v>
      </c>
      <c r="I4" s="27">
        <f>SUM(F4:H4)</f>
        <v>2000</v>
      </c>
    </row>
    <row r="5" spans="2:9" ht="16.2" x14ac:dyDescent="0.45">
      <c r="B5" s="7"/>
      <c r="C5" s="105"/>
      <c r="E5" s="7" t="s">
        <v>25</v>
      </c>
      <c r="F5" s="146">
        <v>0</v>
      </c>
      <c r="G5" s="146">
        <v>0</v>
      </c>
      <c r="H5" s="146">
        <v>0</v>
      </c>
      <c r="I5" s="146">
        <f>SUM(F5:H5)</f>
        <v>0</v>
      </c>
    </row>
    <row r="6" spans="2:9" x14ac:dyDescent="0.3">
      <c r="B6" s="7" t="s">
        <v>2</v>
      </c>
      <c r="C6" s="104">
        <v>8</v>
      </c>
      <c r="E6" s="12" t="s">
        <v>23</v>
      </c>
      <c r="F6" s="13">
        <f>SUM(F4:F5)</f>
        <v>0</v>
      </c>
      <c r="G6" s="13">
        <f t="shared" ref="G6:I6" si="0">SUM(G4:G5)</f>
        <v>0</v>
      </c>
      <c r="H6" s="13">
        <f t="shared" si="0"/>
        <v>2000</v>
      </c>
      <c r="I6" s="14">
        <f t="shared" si="0"/>
        <v>2000</v>
      </c>
    </row>
    <row r="7" spans="2:9" x14ac:dyDescent="0.3">
      <c r="B7" s="7" t="s">
        <v>3</v>
      </c>
      <c r="C7" s="104">
        <v>10</v>
      </c>
      <c r="E7" s="7"/>
      <c r="F7" s="8"/>
      <c r="G7" s="8"/>
      <c r="H7" s="8"/>
      <c r="I7" s="9"/>
    </row>
    <row r="8" spans="2:9" x14ac:dyDescent="0.3">
      <c r="B8" s="7"/>
      <c r="C8" s="105"/>
      <c r="E8" s="7" t="s">
        <v>27</v>
      </c>
      <c r="F8" s="27">
        <v>6700</v>
      </c>
      <c r="G8" s="27">
        <v>0</v>
      </c>
      <c r="H8" s="27">
        <v>0</v>
      </c>
      <c r="I8" s="27">
        <f>SUM(F8:H8)</f>
        <v>6700</v>
      </c>
    </row>
    <row r="9" spans="2:9" ht="16.2" x14ac:dyDescent="0.45">
      <c r="B9" s="12" t="s">
        <v>4</v>
      </c>
      <c r="C9" s="105"/>
      <c r="E9" s="7" t="s">
        <v>99</v>
      </c>
      <c r="F9" s="146">
        <v>0</v>
      </c>
      <c r="G9" s="146">
        <v>0</v>
      </c>
      <c r="H9" s="147">
        <f>C37</f>
        <v>17000</v>
      </c>
      <c r="I9" s="146">
        <f>SUM(F9:H9)</f>
        <v>17000</v>
      </c>
    </row>
    <row r="10" spans="2:9" x14ac:dyDescent="0.3">
      <c r="B10" s="7" t="s">
        <v>5</v>
      </c>
      <c r="C10" s="104" t="s">
        <v>6</v>
      </c>
      <c r="E10" s="12" t="s">
        <v>26</v>
      </c>
      <c r="F10" s="13">
        <f>SUM(F8:F9)</f>
        <v>6700</v>
      </c>
      <c r="G10" s="13">
        <f t="shared" ref="G10:I10" si="1">SUM(G8:G9)</f>
        <v>0</v>
      </c>
      <c r="H10" s="13">
        <f t="shared" si="1"/>
        <v>17000</v>
      </c>
      <c r="I10" s="14">
        <f t="shared" si="1"/>
        <v>23700</v>
      </c>
    </row>
    <row r="11" spans="2:9" x14ac:dyDescent="0.3">
      <c r="B11" s="7" t="s">
        <v>7</v>
      </c>
      <c r="C11" s="106">
        <v>0.8</v>
      </c>
      <c r="E11" s="7"/>
      <c r="F11" s="8"/>
      <c r="G11" s="8"/>
      <c r="H11" s="8"/>
      <c r="I11" s="9"/>
    </row>
    <row r="12" spans="2:9" x14ac:dyDescent="0.3">
      <c r="B12" s="7" t="s">
        <v>8</v>
      </c>
      <c r="C12" s="104" t="s">
        <v>9</v>
      </c>
      <c r="E12" s="7" t="s">
        <v>18</v>
      </c>
      <c r="F12" s="27">
        <v>0</v>
      </c>
      <c r="G12" s="27">
        <v>0</v>
      </c>
      <c r="H12" s="27">
        <v>650000</v>
      </c>
      <c r="I12" s="27">
        <f>SUM(F12:H12)</f>
        <v>650000</v>
      </c>
    </row>
    <row r="13" spans="2:9" ht="16.2" x14ac:dyDescent="0.45">
      <c r="B13" s="12" t="s">
        <v>10</v>
      </c>
      <c r="C13" s="105"/>
      <c r="E13" s="7" t="s">
        <v>21</v>
      </c>
      <c r="F13" s="146">
        <v>0</v>
      </c>
      <c r="G13" s="146">
        <v>0</v>
      </c>
      <c r="H13" s="146">
        <v>0</v>
      </c>
      <c r="I13" s="146">
        <f>SUM(F13:H13)</f>
        <v>0</v>
      </c>
    </row>
    <row r="14" spans="2:9" x14ac:dyDescent="0.3">
      <c r="B14" s="7" t="s">
        <v>11</v>
      </c>
      <c r="C14" s="104" t="s">
        <v>12</v>
      </c>
      <c r="E14" s="12" t="s">
        <v>22</v>
      </c>
      <c r="F14" s="13">
        <f>SUM(F12:F13)</f>
        <v>0</v>
      </c>
      <c r="G14" s="13">
        <f t="shared" ref="G14:I14" si="2">SUM(G12:G13)</f>
        <v>0</v>
      </c>
      <c r="H14" s="13">
        <f t="shared" si="2"/>
        <v>650000</v>
      </c>
      <c r="I14" s="14">
        <f t="shared" si="2"/>
        <v>650000</v>
      </c>
    </row>
    <row r="15" spans="2:9" x14ac:dyDescent="0.3">
      <c r="B15" s="7" t="s">
        <v>13</v>
      </c>
      <c r="C15" s="104" t="s">
        <v>14</v>
      </c>
      <c r="E15" s="7"/>
      <c r="F15" s="8"/>
      <c r="G15" s="8"/>
      <c r="H15" s="8"/>
      <c r="I15" s="9"/>
    </row>
    <row r="16" spans="2:9" ht="15" thickBot="1" x14ac:dyDescent="0.35">
      <c r="B16" s="7" t="s">
        <v>15</v>
      </c>
      <c r="C16" s="106">
        <f>2/3</f>
        <v>0.66666666666666663</v>
      </c>
      <c r="E16" s="15" t="s">
        <v>29</v>
      </c>
      <c r="F16" s="16">
        <f>F6+F10+F14</f>
        <v>6700</v>
      </c>
      <c r="G16" s="16">
        <f t="shared" ref="G16:I16" si="3">G6+G10+G14</f>
        <v>0</v>
      </c>
      <c r="H16" s="16">
        <f t="shared" si="3"/>
        <v>669000</v>
      </c>
      <c r="I16" s="17">
        <f t="shared" si="3"/>
        <v>675700</v>
      </c>
    </row>
    <row r="17" spans="2:11" x14ac:dyDescent="0.3">
      <c r="B17" s="7" t="s">
        <v>13</v>
      </c>
      <c r="C17" s="104" t="s">
        <v>16</v>
      </c>
      <c r="E17" s="20" t="s">
        <v>30</v>
      </c>
      <c r="F17" s="21"/>
      <c r="G17" s="21"/>
      <c r="H17" s="21"/>
      <c r="I17" s="22"/>
    </row>
    <row r="18" spans="2:11" x14ac:dyDescent="0.3">
      <c r="B18" s="7"/>
      <c r="C18" s="105"/>
      <c r="E18" s="19" t="s">
        <v>31</v>
      </c>
      <c r="F18" s="8">
        <v>0</v>
      </c>
      <c r="G18" s="8">
        <v>0</v>
      </c>
      <c r="H18" s="8">
        <v>16000</v>
      </c>
      <c r="I18" s="9">
        <f>SUM(F18:H18)</f>
        <v>16000</v>
      </c>
    </row>
    <row r="19" spans="2:11" ht="16.2" x14ac:dyDescent="0.45">
      <c r="B19" s="7" t="s">
        <v>62</v>
      </c>
      <c r="C19" s="107">
        <v>25000</v>
      </c>
      <c r="E19" s="19" t="s">
        <v>32</v>
      </c>
      <c r="F19" s="10">
        <v>0</v>
      </c>
      <c r="G19" s="10">
        <v>0</v>
      </c>
      <c r="H19" s="10">
        <v>0</v>
      </c>
      <c r="I19" s="11">
        <f>SUM(F19:H19)</f>
        <v>0</v>
      </c>
    </row>
    <row r="20" spans="2:11" x14ac:dyDescent="0.3">
      <c r="B20" s="7" t="s">
        <v>63</v>
      </c>
      <c r="C20" s="108">
        <v>20000</v>
      </c>
      <c r="E20" s="18" t="s">
        <v>33</v>
      </c>
      <c r="F20" s="13">
        <f>SUM(F18:F19)</f>
        <v>0</v>
      </c>
      <c r="G20" s="13">
        <f t="shared" ref="G20:I20" si="4">SUM(G18:G19)</f>
        <v>0</v>
      </c>
      <c r="H20" s="13">
        <f t="shared" si="4"/>
        <v>16000</v>
      </c>
      <c r="I20" s="14">
        <f t="shared" si="4"/>
        <v>16000</v>
      </c>
    </row>
    <row r="21" spans="2:11" x14ac:dyDescent="0.3">
      <c r="B21" s="7"/>
      <c r="C21" s="105"/>
      <c r="E21" s="7"/>
      <c r="F21" s="8"/>
      <c r="G21" s="8"/>
      <c r="H21" s="8"/>
      <c r="I21" s="9"/>
    </row>
    <row r="22" spans="2:11" x14ac:dyDescent="0.3">
      <c r="B22" s="7" t="s">
        <v>70</v>
      </c>
      <c r="C22" s="109">
        <v>7.0000000000000007E-2</v>
      </c>
      <c r="E22" s="19" t="s">
        <v>34</v>
      </c>
      <c r="F22" s="8">
        <v>0</v>
      </c>
      <c r="G22" s="8">
        <v>0</v>
      </c>
      <c r="H22" s="8">
        <v>275000</v>
      </c>
      <c r="I22" s="9">
        <f>SUM(F22:H22)</f>
        <v>275000</v>
      </c>
    </row>
    <row r="23" spans="2:11" ht="16.2" x14ac:dyDescent="0.45">
      <c r="B23" s="7" t="s">
        <v>71</v>
      </c>
      <c r="C23" s="109">
        <v>0.01</v>
      </c>
      <c r="E23" s="19" t="s">
        <v>35</v>
      </c>
      <c r="F23" s="10">
        <v>0</v>
      </c>
      <c r="G23" s="10">
        <v>0</v>
      </c>
      <c r="H23" s="10">
        <v>0</v>
      </c>
      <c r="I23" s="11">
        <f>SUM(F23:H23)</f>
        <v>0</v>
      </c>
    </row>
    <row r="24" spans="2:11" x14ac:dyDescent="0.3">
      <c r="B24" s="7" t="s">
        <v>72</v>
      </c>
      <c r="C24" s="110">
        <f>C22-C23</f>
        <v>6.0000000000000005E-2</v>
      </c>
      <c r="E24" s="18" t="s">
        <v>36</v>
      </c>
      <c r="F24" s="13">
        <f>SUM(F22:F23)</f>
        <v>0</v>
      </c>
      <c r="G24" s="13">
        <f t="shared" ref="G24:I24" si="5">SUM(G22:G23)</f>
        <v>0</v>
      </c>
      <c r="H24" s="13">
        <f t="shared" si="5"/>
        <v>275000</v>
      </c>
      <c r="I24" s="14">
        <f t="shared" si="5"/>
        <v>275000</v>
      </c>
    </row>
    <row r="25" spans="2:11" x14ac:dyDescent="0.3">
      <c r="B25" s="7" t="s">
        <v>116</v>
      </c>
      <c r="C25" s="159">
        <f>(1+C24)/(1+C26)-1</f>
        <v>3.9215686274509887E-2</v>
      </c>
      <c r="E25" s="7"/>
      <c r="F25" s="23"/>
      <c r="G25" s="23"/>
      <c r="H25" s="23"/>
      <c r="I25" s="24"/>
    </row>
    <row r="26" spans="2:11" ht="15" thickBot="1" x14ac:dyDescent="0.35">
      <c r="B26" s="7" t="s">
        <v>65</v>
      </c>
      <c r="C26" s="106">
        <v>0.02</v>
      </c>
      <c r="E26" s="15" t="s">
        <v>37</v>
      </c>
      <c r="F26" s="25">
        <f>F20+F24</f>
        <v>0</v>
      </c>
      <c r="G26" s="25">
        <f t="shared" ref="G26:I26" si="6">G20+G24</f>
        <v>0</v>
      </c>
      <c r="H26" s="25">
        <f t="shared" si="6"/>
        <v>291000</v>
      </c>
      <c r="I26" s="26">
        <f t="shared" si="6"/>
        <v>291000</v>
      </c>
    </row>
    <row r="27" spans="2:11" ht="15" thickBot="1" x14ac:dyDescent="0.35">
      <c r="B27" s="7"/>
      <c r="C27" s="105"/>
      <c r="E27" s="20" t="s">
        <v>17</v>
      </c>
      <c r="F27" s="82">
        <f>F16-F26</f>
        <v>6700</v>
      </c>
      <c r="G27" s="82">
        <f t="shared" ref="G27:I27" si="7">G16-G26</f>
        <v>0</v>
      </c>
      <c r="H27" s="82">
        <f t="shared" si="7"/>
        <v>378000</v>
      </c>
      <c r="I27" s="83">
        <f t="shared" si="7"/>
        <v>384700</v>
      </c>
    </row>
    <row r="28" spans="2:11" x14ac:dyDescent="0.3">
      <c r="B28" s="7" t="s">
        <v>69</v>
      </c>
      <c r="C28" s="104">
        <v>65</v>
      </c>
      <c r="E28" s="28"/>
      <c r="F28" s="188" t="s">
        <v>39</v>
      </c>
      <c r="G28" s="188"/>
      <c r="H28" s="94" t="s">
        <v>20</v>
      </c>
      <c r="I28" s="188" t="s">
        <v>40</v>
      </c>
      <c r="J28" s="188"/>
      <c r="K28" s="94" t="s">
        <v>20</v>
      </c>
    </row>
    <row r="29" spans="2:11" x14ac:dyDescent="0.3">
      <c r="B29" s="7"/>
      <c r="C29" s="105"/>
      <c r="E29" s="18" t="s">
        <v>38</v>
      </c>
      <c r="F29" s="84" t="str">
        <f>F3</f>
        <v>Pat</v>
      </c>
      <c r="G29" s="84" t="str">
        <f>G3</f>
        <v>Leslie</v>
      </c>
      <c r="H29" s="95" t="s">
        <v>39</v>
      </c>
      <c r="I29" s="84" t="str">
        <f>F29</f>
        <v>Pat</v>
      </c>
      <c r="J29" s="84" t="str">
        <f>G29</f>
        <v>Leslie</v>
      </c>
      <c r="K29" s="95" t="s">
        <v>40</v>
      </c>
    </row>
    <row r="30" spans="2:11" x14ac:dyDescent="0.3">
      <c r="B30" s="7" t="s">
        <v>88</v>
      </c>
      <c r="C30" s="108">
        <v>11000</v>
      </c>
      <c r="E30" s="19" t="s">
        <v>41</v>
      </c>
      <c r="F30" s="85">
        <v>7083.33</v>
      </c>
      <c r="G30" s="93">
        <v>3333</v>
      </c>
      <c r="H30" s="96">
        <f>SUM(F30:G30)</f>
        <v>10416.33</v>
      </c>
      <c r="I30" s="37">
        <f>F30*12</f>
        <v>84999.959999999992</v>
      </c>
      <c r="J30" s="37">
        <f>G30*12</f>
        <v>39996</v>
      </c>
      <c r="K30" s="101">
        <f>I30+J30</f>
        <v>124995.95999999999</v>
      </c>
    </row>
    <row r="31" spans="2:11" x14ac:dyDescent="0.3">
      <c r="B31" s="7" t="s">
        <v>89</v>
      </c>
      <c r="C31" s="158">
        <v>3.5000000000000003E-2</v>
      </c>
      <c r="E31" s="18" t="s">
        <v>42</v>
      </c>
      <c r="F31" s="85">
        <v>-2267.5</v>
      </c>
      <c r="G31" s="93">
        <v>-846.58</v>
      </c>
      <c r="H31" s="96">
        <f t="shared" ref="H31:H33" si="8">SUM(F31:G31)</f>
        <v>-3114.08</v>
      </c>
      <c r="I31" s="37">
        <f t="shared" ref="I31:J33" si="9">F31*12</f>
        <v>-27210</v>
      </c>
      <c r="J31" s="37">
        <f t="shared" si="9"/>
        <v>-10158.960000000001</v>
      </c>
      <c r="K31" s="101">
        <f t="shared" ref="K31:K33" si="10">I31+J31</f>
        <v>-37368.959999999999</v>
      </c>
    </row>
    <row r="32" spans="2:11" x14ac:dyDescent="0.3">
      <c r="B32" s="7" t="s">
        <v>89</v>
      </c>
      <c r="C32" s="165">
        <f>(1+C24)/(1+C31)-1</f>
        <v>2.4154589371980784E-2</v>
      </c>
      <c r="E32" s="7"/>
      <c r="F32" s="37"/>
      <c r="G32" s="37"/>
      <c r="H32" s="96"/>
      <c r="I32" s="37"/>
      <c r="J32" s="37"/>
      <c r="K32" s="101"/>
    </row>
    <row r="33" spans="1:11" x14ac:dyDescent="0.3">
      <c r="B33" s="7" t="s">
        <v>95</v>
      </c>
      <c r="C33" s="104">
        <v>4</v>
      </c>
      <c r="E33" s="18" t="s">
        <v>43</v>
      </c>
      <c r="F33" s="37">
        <v>0</v>
      </c>
      <c r="G33" s="37">
        <v>0</v>
      </c>
      <c r="H33" s="96">
        <f t="shared" si="8"/>
        <v>0</v>
      </c>
      <c r="I33" s="37">
        <f t="shared" si="9"/>
        <v>0</v>
      </c>
      <c r="J33" s="37">
        <f t="shared" si="9"/>
        <v>0</v>
      </c>
      <c r="K33" s="101">
        <f t="shared" si="10"/>
        <v>0</v>
      </c>
    </row>
    <row r="34" spans="1:11" x14ac:dyDescent="0.3">
      <c r="E34" s="7"/>
      <c r="F34" s="37"/>
      <c r="G34" s="37"/>
      <c r="H34" s="96"/>
      <c r="I34" s="37"/>
      <c r="J34" s="37"/>
      <c r="K34" s="101"/>
    </row>
    <row r="35" spans="1:11" ht="16.2" x14ac:dyDescent="0.45">
      <c r="B35" s="7" t="s">
        <v>100</v>
      </c>
      <c r="C35" s="108">
        <v>5000</v>
      </c>
      <c r="E35" s="18" t="s">
        <v>44</v>
      </c>
      <c r="F35" s="87">
        <f>F30+F31+F33</f>
        <v>4815.83</v>
      </c>
      <c r="G35" s="87">
        <f t="shared" ref="G35:K35" si="11">G30+G31+G33</f>
        <v>2486.42</v>
      </c>
      <c r="H35" s="97">
        <f t="shared" si="11"/>
        <v>7302.25</v>
      </c>
      <c r="I35" s="87">
        <f t="shared" si="11"/>
        <v>57789.959999999992</v>
      </c>
      <c r="J35" s="87">
        <f t="shared" si="11"/>
        <v>29837.040000000001</v>
      </c>
      <c r="K35" s="97">
        <f t="shared" si="11"/>
        <v>87627</v>
      </c>
    </row>
    <row r="36" spans="1:11" x14ac:dyDescent="0.3">
      <c r="B36" s="7" t="s">
        <v>101</v>
      </c>
      <c r="C36" s="108">
        <v>12000</v>
      </c>
      <c r="E36" s="7"/>
      <c r="F36" s="37"/>
      <c r="G36" s="37"/>
      <c r="H36" s="96"/>
      <c r="I36" s="37"/>
      <c r="J36" s="37"/>
      <c r="K36" s="101"/>
    </row>
    <row r="37" spans="1:11" x14ac:dyDescent="0.3">
      <c r="B37" s="7" t="s">
        <v>20</v>
      </c>
      <c r="C37" s="111">
        <f>SUM(C35:C36)</f>
        <v>17000</v>
      </c>
      <c r="E37" s="7" t="s">
        <v>34</v>
      </c>
      <c r="F37" s="37"/>
      <c r="G37" s="150">
        <f>H37/$H$30</f>
        <v>0.16320527479448135</v>
      </c>
      <c r="H37" s="98">
        <v>1700</v>
      </c>
      <c r="I37" s="150">
        <f>H37/$H$35</f>
        <v>0.23280495737615117</v>
      </c>
      <c r="J37" s="37"/>
      <c r="K37" s="101">
        <f>H37*12</f>
        <v>20400</v>
      </c>
    </row>
    <row r="38" spans="1:11" x14ac:dyDescent="0.3">
      <c r="B38" s="7"/>
      <c r="C38" s="105"/>
      <c r="E38" s="7" t="s">
        <v>31</v>
      </c>
      <c r="F38" s="37"/>
      <c r="G38" s="150">
        <f t="shared" ref="G38:G40" si="12">H38/$H$30</f>
        <v>3.8401241128113259E-2</v>
      </c>
      <c r="H38" s="98">
        <v>400</v>
      </c>
      <c r="I38" s="150">
        <f t="shared" ref="I38:I40" si="13">H38/$H$35</f>
        <v>5.4777637029682635E-2</v>
      </c>
      <c r="J38" s="37"/>
      <c r="K38" s="101">
        <f t="shared" ref="K38:K39" si="14">H38*12</f>
        <v>4800</v>
      </c>
    </row>
    <row r="39" spans="1:11" ht="16.2" x14ac:dyDescent="0.45">
      <c r="B39" s="7"/>
      <c r="C39" s="105"/>
      <c r="E39" s="7" t="s">
        <v>45</v>
      </c>
      <c r="F39" s="37"/>
      <c r="G39" s="152">
        <f t="shared" si="12"/>
        <v>0</v>
      </c>
      <c r="H39" s="98">
        <v>0</v>
      </c>
      <c r="I39" s="152">
        <f t="shared" si="13"/>
        <v>0</v>
      </c>
      <c r="J39" s="37"/>
      <c r="K39" s="102">
        <f t="shared" si="14"/>
        <v>0</v>
      </c>
    </row>
    <row r="40" spans="1:11" x14ac:dyDescent="0.3">
      <c r="B40" s="7" t="s">
        <v>90</v>
      </c>
      <c r="C40" s="108">
        <v>100000</v>
      </c>
      <c r="E40" s="12" t="s">
        <v>46</v>
      </c>
      <c r="F40" s="37"/>
      <c r="G40" s="150">
        <f t="shared" si="12"/>
        <v>0.20160651592259463</v>
      </c>
      <c r="H40" s="99">
        <f>SUM(H37:H39)</f>
        <v>2100</v>
      </c>
      <c r="I40" s="151">
        <f t="shared" si="13"/>
        <v>0.28758259440583384</v>
      </c>
      <c r="J40" s="60"/>
      <c r="K40" s="99">
        <f>SUM(K37:K39)</f>
        <v>25200</v>
      </c>
    </row>
    <row r="41" spans="1:11" x14ac:dyDescent="0.3">
      <c r="B41" s="7" t="s">
        <v>90</v>
      </c>
      <c r="C41" s="108">
        <f>C40</f>
        <v>100000</v>
      </c>
      <c r="E41" s="7"/>
      <c r="F41" s="37"/>
      <c r="G41" s="37"/>
      <c r="H41" s="96"/>
      <c r="I41" s="37"/>
      <c r="J41" s="37"/>
      <c r="K41" s="101"/>
    </row>
    <row r="42" spans="1:11" ht="15" thickBot="1" x14ac:dyDescent="0.35">
      <c r="B42" s="43"/>
      <c r="C42" s="112">
        <f>SUM(C40:C41)</f>
        <v>200000</v>
      </c>
      <c r="E42" s="7" t="s">
        <v>47</v>
      </c>
      <c r="F42" s="37"/>
      <c r="G42" s="150">
        <f>H42/$H$30</f>
        <v>3.1969033239154288E-2</v>
      </c>
      <c r="H42" s="98">
        <v>333</v>
      </c>
      <c r="I42" s="150">
        <f>H42/$H$35</f>
        <v>4.560238282721079E-2</v>
      </c>
      <c r="J42" s="23"/>
      <c r="K42" s="101">
        <f>H42*12</f>
        <v>3996</v>
      </c>
    </row>
    <row r="43" spans="1:11" x14ac:dyDescent="0.3">
      <c r="E43" s="7" t="s">
        <v>48</v>
      </c>
      <c r="F43" s="37"/>
      <c r="G43" s="150">
        <f t="shared" ref="G43:G60" si="15">H43/$H$30</f>
        <v>2.8800930846084944E-2</v>
      </c>
      <c r="H43" s="98">
        <v>300</v>
      </c>
      <c r="I43" s="150">
        <f t="shared" ref="I43:I45" si="16">H43/$H$35</f>
        <v>4.1083227772261977E-2</v>
      </c>
      <c r="J43" s="23"/>
      <c r="K43" s="101">
        <f t="shared" ref="K43:K44" si="17">H43*12</f>
        <v>3600</v>
      </c>
    </row>
    <row r="44" spans="1:11" ht="16.2" x14ac:dyDescent="0.45">
      <c r="B44" t="s">
        <v>115</v>
      </c>
      <c r="C44" s="1">
        <v>20</v>
      </c>
      <c r="D44">
        <v>12</v>
      </c>
      <c r="E44" s="7" t="s">
        <v>49</v>
      </c>
      <c r="F44" s="37"/>
      <c r="G44" s="152">
        <f t="shared" si="15"/>
        <v>0.12000387852535394</v>
      </c>
      <c r="H44" s="98">
        <v>1250</v>
      </c>
      <c r="I44" s="152">
        <f t="shared" si="16"/>
        <v>0.17118011571775824</v>
      </c>
      <c r="J44" s="23"/>
      <c r="K44" s="102">
        <f t="shared" si="17"/>
        <v>15000</v>
      </c>
    </row>
    <row r="45" spans="1:11" x14ac:dyDescent="0.3">
      <c r="B45" t="s">
        <v>113</v>
      </c>
      <c r="E45" s="12" t="s">
        <v>50</v>
      </c>
      <c r="F45" s="41"/>
      <c r="G45" s="150">
        <f t="shared" si="15"/>
        <v>0.18077384261059318</v>
      </c>
      <c r="H45" s="99">
        <f>SUM(H42:H44)</f>
        <v>1883</v>
      </c>
      <c r="I45" s="151">
        <f t="shared" si="16"/>
        <v>0.25786572631723098</v>
      </c>
      <c r="J45" s="60"/>
      <c r="K45" s="99">
        <f>SUM(K42:K44)</f>
        <v>22596</v>
      </c>
    </row>
    <row r="46" spans="1:11" x14ac:dyDescent="0.3">
      <c r="A46">
        <v>1</v>
      </c>
      <c r="B46" t="s">
        <v>73</v>
      </c>
      <c r="C46" s="1">
        <f>C44*D44</f>
        <v>240</v>
      </c>
      <c r="E46" s="7"/>
      <c r="F46" s="37"/>
      <c r="G46" s="37"/>
      <c r="H46" s="96"/>
      <c r="I46" s="37"/>
      <c r="J46" s="23"/>
      <c r="K46" s="103"/>
    </row>
    <row r="47" spans="1:11" x14ac:dyDescent="0.3">
      <c r="B47" t="s">
        <v>74</v>
      </c>
      <c r="C47" s="157">
        <v>0.04</v>
      </c>
      <c r="E47" s="7" t="s">
        <v>51</v>
      </c>
      <c r="F47" s="37"/>
      <c r="G47" s="150">
        <f t="shared" si="15"/>
        <v>4.8001551410141577E-2</v>
      </c>
      <c r="H47" s="98">
        <v>500</v>
      </c>
      <c r="I47" s="150">
        <f>H47/$H$35</f>
        <v>6.8472046287103294E-2</v>
      </c>
      <c r="J47" s="23"/>
      <c r="K47" s="101">
        <f t="shared" ref="K47:K48" si="18">H47*12</f>
        <v>6000</v>
      </c>
    </row>
    <row r="48" spans="1:11" ht="16.2" x14ac:dyDescent="0.45">
      <c r="B48" t="s">
        <v>93</v>
      </c>
      <c r="C48" s="155">
        <v>-380815.44153992401</v>
      </c>
      <c r="E48" s="7" t="s">
        <v>52</v>
      </c>
      <c r="F48" s="37"/>
      <c r="G48" s="152">
        <f t="shared" si="15"/>
        <v>1.9200620564056629E-2</v>
      </c>
      <c r="H48" s="98">
        <v>200</v>
      </c>
      <c r="I48" s="152">
        <f t="shared" ref="I48:I52" si="19">H48/$H$35</f>
        <v>2.7388818514841318E-2</v>
      </c>
      <c r="J48" s="23"/>
      <c r="K48" s="102">
        <f t="shared" si="18"/>
        <v>2400</v>
      </c>
    </row>
    <row r="49" spans="2:11" x14ac:dyDescent="0.3">
      <c r="B49" t="s">
        <v>76</v>
      </c>
      <c r="C49" s="1">
        <v>0</v>
      </c>
      <c r="E49" s="12" t="s">
        <v>53</v>
      </c>
      <c r="F49" s="60"/>
      <c r="G49" s="150">
        <f t="shared" si="15"/>
        <v>6.7202171974198213E-2</v>
      </c>
      <c r="H49" s="99">
        <f>SUM(H47:H48)</f>
        <v>700</v>
      </c>
      <c r="I49" s="151">
        <f t="shared" si="19"/>
        <v>9.5860864801944612E-2</v>
      </c>
      <c r="J49" s="23"/>
      <c r="K49" s="99">
        <f>SUM(K46:K48)</f>
        <v>8400</v>
      </c>
    </row>
    <row r="50" spans="2:11" x14ac:dyDescent="0.3">
      <c r="B50" t="s">
        <v>114</v>
      </c>
      <c r="C50" s="156">
        <f>PMT(C47/D44,C46,C48,C49,A46)</f>
        <v>2300</v>
      </c>
      <c r="E50" s="7"/>
      <c r="F50" s="37"/>
      <c r="G50" s="37"/>
      <c r="H50" s="96"/>
      <c r="I50" s="37"/>
      <c r="J50" s="23"/>
      <c r="K50" s="103"/>
    </row>
    <row r="51" spans="2:11" ht="16.2" x14ac:dyDescent="0.45">
      <c r="E51" s="7" t="s">
        <v>54</v>
      </c>
      <c r="F51" s="37"/>
      <c r="G51" s="152">
        <f t="shared" si="15"/>
        <v>7.9970584649295864E-2</v>
      </c>
      <c r="H51" s="98">
        <v>833</v>
      </c>
      <c r="I51" s="152">
        <f t="shared" si="19"/>
        <v>0.11407442911431408</v>
      </c>
      <c r="J51" s="23"/>
      <c r="K51" s="102">
        <f t="shared" ref="K51" si="20">H51*12</f>
        <v>9996</v>
      </c>
    </row>
    <row r="52" spans="2:11" x14ac:dyDescent="0.3">
      <c r="E52" s="12" t="s">
        <v>55</v>
      </c>
      <c r="F52" s="60"/>
      <c r="G52" s="150">
        <f t="shared" si="15"/>
        <v>7.9970584649295864E-2</v>
      </c>
      <c r="H52" s="99">
        <f>SUM(H51)</f>
        <v>833</v>
      </c>
      <c r="I52" s="151">
        <f t="shared" si="19"/>
        <v>0.11407442911431408</v>
      </c>
      <c r="J52" s="23"/>
      <c r="K52" s="99">
        <f>SUM(K51)</f>
        <v>9996</v>
      </c>
    </row>
    <row r="53" spans="2:11" x14ac:dyDescent="0.3">
      <c r="E53" s="7"/>
      <c r="F53" s="37"/>
      <c r="G53" s="37"/>
      <c r="H53" s="96"/>
      <c r="I53" s="37"/>
      <c r="J53" s="23"/>
      <c r="K53" s="103"/>
    </row>
    <row r="54" spans="2:11" x14ac:dyDescent="0.3">
      <c r="E54" s="7" t="s">
        <v>56</v>
      </c>
      <c r="F54" s="37"/>
      <c r="G54" s="150">
        <f t="shared" si="15"/>
        <v>3.8401241128113259E-2</v>
      </c>
      <c r="H54" s="98">
        <v>400</v>
      </c>
      <c r="I54" s="150">
        <f>H54/$H$35</f>
        <v>5.4777637029682635E-2</v>
      </c>
      <c r="J54" s="23"/>
      <c r="K54" s="101">
        <f t="shared" ref="K54:K55" si="21">H54*12</f>
        <v>4800</v>
      </c>
    </row>
    <row r="55" spans="2:11" ht="16.2" x14ac:dyDescent="0.45">
      <c r="E55" s="7" t="s">
        <v>57</v>
      </c>
      <c r="F55" s="37"/>
      <c r="G55" s="152">
        <f t="shared" si="15"/>
        <v>4.0033293876058078E-2</v>
      </c>
      <c r="H55" s="98">
        <v>417</v>
      </c>
      <c r="I55" s="152">
        <f t="shared" ref="I55:I56" si="22">H55/$H$35</f>
        <v>5.7105686603444145E-2</v>
      </c>
      <c r="J55" s="23"/>
      <c r="K55" s="102">
        <f t="shared" si="21"/>
        <v>5004</v>
      </c>
    </row>
    <row r="56" spans="2:11" x14ac:dyDescent="0.3">
      <c r="E56" s="12" t="s">
        <v>58</v>
      </c>
      <c r="F56" s="37"/>
      <c r="G56" s="150">
        <f t="shared" si="15"/>
        <v>7.843453500417133E-2</v>
      </c>
      <c r="H56" s="99">
        <f>SUM(H54:H55)</f>
        <v>817</v>
      </c>
      <c r="I56" s="151">
        <f t="shared" si="22"/>
        <v>0.11188332363312678</v>
      </c>
      <c r="J56" s="23"/>
      <c r="K56" s="99">
        <f>SUM(K53:K55)</f>
        <v>9804</v>
      </c>
    </row>
    <row r="57" spans="2:11" x14ac:dyDescent="0.3">
      <c r="E57" s="7"/>
      <c r="F57" s="37"/>
      <c r="G57" s="37"/>
      <c r="H57" s="96"/>
      <c r="I57" s="37"/>
      <c r="J57" s="23"/>
      <c r="K57" s="103"/>
    </row>
    <row r="58" spans="2:11" ht="16.2" x14ac:dyDescent="0.45">
      <c r="E58" s="12" t="s">
        <v>59</v>
      </c>
      <c r="F58" s="37"/>
      <c r="G58" s="154">
        <f t="shared" si="15"/>
        <v>0.60798765016085321</v>
      </c>
      <c r="H58" s="97">
        <f>H40+H45+H49+H52+H56</f>
        <v>6333</v>
      </c>
      <c r="I58" s="153">
        <f>H58/$H$35</f>
        <v>0.86726693827245027</v>
      </c>
      <c r="J58" s="90"/>
      <c r="K58" s="97">
        <f>K40+K45+K49+K52+K56</f>
        <v>75996</v>
      </c>
    </row>
    <row r="59" spans="2:11" x14ac:dyDescent="0.3">
      <c r="E59" s="7"/>
      <c r="F59" s="37"/>
      <c r="G59" s="37"/>
      <c r="H59" s="96"/>
      <c r="I59" s="37"/>
      <c r="J59" s="23"/>
      <c r="K59" s="103"/>
    </row>
    <row r="60" spans="2:11" ht="16.8" thickBot="1" x14ac:dyDescent="0.5">
      <c r="E60" s="15" t="s">
        <v>60</v>
      </c>
      <c r="F60" s="46"/>
      <c r="G60" s="154">
        <f t="shared" si="15"/>
        <v>9.3051007408559441E-2</v>
      </c>
      <c r="H60" s="100">
        <f>H35-H58</f>
        <v>969.25</v>
      </c>
      <c r="I60" s="153">
        <f>H60/$H$35</f>
        <v>0.13273306172754973</v>
      </c>
      <c r="J60" s="92"/>
      <c r="K60" s="100">
        <f>K35-K58</f>
        <v>11631</v>
      </c>
    </row>
    <row r="61" spans="2:11" ht="15" thickBot="1" x14ac:dyDescent="0.35">
      <c r="F61" s="3"/>
      <c r="G61" s="3"/>
      <c r="H61" s="3"/>
      <c r="I61" s="3"/>
    </row>
    <row r="62" spans="2:11" ht="15" thickBot="1" x14ac:dyDescent="0.35">
      <c r="D62" s="28"/>
      <c r="E62" s="50"/>
      <c r="F62" s="32"/>
      <c r="G62" s="62"/>
      <c r="H62" s="3"/>
      <c r="I62" s="3"/>
    </row>
    <row r="63" spans="2:11" x14ac:dyDescent="0.3">
      <c r="B63" s="28"/>
      <c r="C63" s="29"/>
      <c r="D63" s="28"/>
      <c r="E63" s="57" t="s">
        <v>61</v>
      </c>
      <c r="F63" s="58" t="str">
        <f>F3</f>
        <v>Pat</v>
      </c>
      <c r="G63" s="126" t="str">
        <f>G3</f>
        <v>Leslie</v>
      </c>
      <c r="H63" s="75"/>
      <c r="I63" s="75"/>
      <c r="J63" s="76"/>
    </row>
    <row r="64" spans="2:11" x14ac:dyDescent="0.3">
      <c r="B64" s="7"/>
      <c r="C64" s="34"/>
      <c r="D64" s="7"/>
      <c r="E64" s="23" t="s">
        <v>34</v>
      </c>
      <c r="F64" s="37">
        <f>I22</f>
        <v>275000</v>
      </c>
      <c r="G64" s="96">
        <f>F64</f>
        <v>275000</v>
      </c>
      <c r="H64" s="77"/>
      <c r="I64" s="77"/>
      <c r="J64" s="72"/>
    </row>
    <row r="65" spans="2:10" x14ac:dyDescent="0.3">
      <c r="B65" s="7"/>
      <c r="C65" s="34"/>
      <c r="D65" s="7"/>
      <c r="E65" s="23" t="s">
        <v>31</v>
      </c>
      <c r="F65" s="37">
        <f>I18</f>
        <v>16000</v>
      </c>
      <c r="G65" s="96">
        <f>F65</f>
        <v>16000</v>
      </c>
      <c r="H65" s="77"/>
      <c r="I65" s="77"/>
      <c r="J65" s="72"/>
    </row>
    <row r="66" spans="2:10" x14ac:dyDescent="0.3">
      <c r="B66" s="7"/>
      <c r="C66" s="34"/>
      <c r="D66" s="7"/>
      <c r="E66" s="23" t="s">
        <v>62</v>
      </c>
      <c r="F66" s="37">
        <f>C19</f>
        <v>25000</v>
      </c>
      <c r="G66" s="96">
        <f>F66</f>
        <v>25000</v>
      </c>
      <c r="H66" s="77"/>
      <c r="I66" s="77"/>
      <c r="J66" s="72"/>
    </row>
    <row r="67" spans="2:10" ht="16.2" x14ac:dyDescent="0.45">
      <c r="B67" s="7"/>
      <c r="C67" s="34"/>
      <c r="D67" s="7"/>
      <c r="E67" s="23" t="s">
        <v>63</v>
      </c>
      <c r="F67" s="59">
        <f>C20</f>
        <v>20000</v>
      </c>
      <c r="G67" s="127">
        <f>F67</f>
        <v>20000</v>
      </c>
      <c r="H67" s="77"/>
      <c r="I67" s="77"/>
      <c r="J67" s="72"/>
    </row>
    <row r="68" spans="2:10" x14ac:dyDescent="0.3">
      <c r="B68" s="7"/>
      <c r="C68" s="34"/>
      <c r="D68" s="7"/>
      <c r="E68" s="41" t="s">
        <v>64</v>
      </c>
      <c r="F68" s="60">
        <f>SUM(F64:F67)</f>
        <v>336000</v>
      </c>
      <c r="G68" s="99">
        <f>SUM(G64:G67)</f>
        <v>336000</v>
      </c>
      <c r="H68" s="77"/>
      <c r="I68" s="77"/>
      <c r="J68" s="72"/>
    </row>
    <row r="69" spans="2:10" x14ac:dyDescent="0.3">
      <c r="B69" s="7"/>
      <c r="C69" s="34"/>
      <c r="D69" s="7"/>
      <c r="E69" s="23"/>
      <c r="F69" s="37"/>
      <c r="G69" s="96"/>
      <c r="H69" s="77"/>
      <c r="I69" s="77"/>
      <c r="J69" s="72"/>
    </row>
    <row r="70" spans="2:10" x14ac:dyDescent="0.3">
      <c r="B70" s="7"/>
      <c r="C70" s="34"/>
      <c r="D70" s="70">
        <v>0.9</v>
      </c>
      <c r="E70" s="23" t="s">
        <v>66</v>
      </c>
      <c r="F70" s="37">
        <f>H42+H43+H44*D70</f>
        <v>1758</v>
      </c>
      <c r="G70" s="96"/>
      <c r="H70" s="77"/>
      <c r="I70" s="77"/>
      <c r="J70" s="72"/>
    </row>
    <row r="71" spans="2:10" ht="16.2" x14ac:dyDescent="0.45">
      <c r="B71" s="7"/>
      <c r="C71" s="34"/>
      <c r="D71" s="7"/>
      <c r="E71" s="23" t="s">
        <v>67</v>
      </c>
      <c r="F71" s="59">
        <f>H47</f>
        <v>500</v>
      </c>
      <c r="G71" s="96"/>
      <c r="H71" s="77"/>
      <c r="I71" s="77"/>
      <c r="J71" s="72"/>
    </row>
    <row r="72" spans="2:10" ht="15" thickBot="1" x14ac:dyDescent="0.35">
      <c r="B72" s="43"/>
      <c r="C72" s="48"/>
      <c r="D72" s="43"/>
      <c r="E72" s="44"/>
      <c r="F72" s="46">
        <f>SUM(F70:F71)</f>
        <v>2258</v>
      </c>
      <c r="G72" s="128"/>
      <c r="H72" s="78"/>
      <c r="I72" s="78"/>
      <c r="J72" s="74"/>
    </row>
    <row r="73" spans="2:10" ht="28.8" x14ac:dyDescent="0.3">
      <c r="B73" s="28"/>
      <c r="C73" s="29" t="s">
        <v>82</v>
      </c>
      <c r="D73" s="50">
        <f>C28</f>
        <v>65</v>
      </c>
      <c r="E73" s="31" t="s">
        <v>84</v>
      </c>
      <c r="F73" s="32"/>
      <c r="G73" s="129"/>
      <c r="H73" s="75"/>
      <c r="I73" s="75"/>
      <c r="J73" s="76"/>
    </row>
    <row r="74" spans="2:10" x14ac:dyDescent="0.3">
      <c r="B74" s="7" t="s">
        <v>83</v>
      </c>
      <c r="C74" s="34" t="str">
        <f>B3</f>
        <v>Pat</v>
      </c>
      <c r="D74" s="23">
        <f>C28-C3</f>
        <v>32</v>
      </c>
      <c r="E74" s="23" t="s">
        <v>68</v>
      </c>
      <c r="F74" s="37"/>
      <c r="G74" s="96"/>
      <c r="H74" s="77"/>
      <c r="I74" s="77"/>
      <c r="J74" s="72"/>
    </row>
    <row r="75" spans="2:10" x14ac:dyDescent="0.3">
      <c r="B75" s="7"/>
      <c r="C75" s="34" t="s">
        <v>78</v>
      </c>
      <c r="D75" s="35">
        <v>12</v>
      </c>
      <c r="E75" s="23" t="s">
        <v>73</v>
      </c>
      <c r="F75" s="36">
        <f>D74*D75</f>
        <v>384</v>
      </c>
      <c r="G75" s="96"/>
      <c r="H75" s="77"/>
      <c r="I75" s="77"/>
      <c r="J75" s="72"/>
    </row>
    <row r="76" spans="2:10" x14ac:dyDescent="0.3">
      <c r="B76" s="7"/>
      <c r="C76" s="34" t="s">
        <v>79</v>
      </c>
      <c r="D76" s="23"/>
      <c r="E76" s="23" t="s">
        <v>74</v>
      </c>
      <c r="F76" s="39">
        <f>C25</f>
        <v>3.9215686274509887E-2</v>
      </c>
      <c r="G76" s="168" t="s">
        <v>122</v>
      </c>
      <c r="H76" s="77"/>
      <c r="I76" s="77"/>
      <c r="J76" s="72"/>
    </row>
    <row r="77" spans="2:10" x14ac:dyDescent="0.3">
      <c r="B77" s="7"/>
      <c r="C77" s="34" t="s">
        <v>80</v>
      </c>
      <c r="D77" s="35">
        <v>0</v>
      </c>
      <c r="E77" s="23" t="s">
        <v>75</v>
      </c>
      <c r="F77" s="37">
        <f>-F72</f>
        <v>-2258</v>
      </c>
      <c r="G77" s="96"/>
      <c r="H77" s="77"/>
      <c r="I77" s="77"/>
      <c r="J77" s="72"/>
    </row>
    <row r="78" spans="2:10" x14ac:dyDescent="0.3">
      <c r="B78" s="7"/>
      <c r="C78" s="34" t="s">
        <v>81</v>
      </c>
      <c r="D78" s="35">
        <v>1</v>
      </c>
      <c r="E78" s="23" t="s">
        <v>76</v>
      </c>
      <c r="F78" s="37">
        <v>0</v>
      </c>
      <c r="G78" s="96"/>
      <c r="H78" s="77"/>
      <c r="I78" s="77"/>
      <c r="J78" s="72"/>
    </row>
    <row r="79" spans="2:10" ht="15" thickBot="1" x14ac:dyDescent="0.35">
      <c r="B79" s="43"/>
      <c r="C79" s="48"/>
      <c r="D79" s="44"/>
      <c r="E79" s="45" t="s">
        <v>77</v>
      </c>
      <c r="F79" s="49">
        <f>PV(F76/12,F75,F77,F78,D77)</f>
        <v>493552.6355073459</v>
      </c>
      <c r="G79" s="128"/>
      <c r="H79" s="78"/>
      <c r="I79" s="78"/>
      <c r="J79" s="74"/>
    </row>
    <row r="80" spans="2:10" x14ac:dyDescent="0.3">
      <c r="B80" s="28" t="s">
        <v>85</v>
      </c>
      <c r="C80" s="29" t="s">
        <v>2</v>
      </c>
      <c r="D80" s="30">
        <v>14</v>
      </c>
      <c r="E80" s="31" t="s">
        <v>2</v>
      </c>
      <c r="F80" s="32"/>
      <c r="G80" s="129"/>
      <c r="H80" s="75"/>
      <c r="I80" s="75"/>
      <c r="J80" s="76"/>
    </row>
    <row r="81" spans="2:10" x14ac:dyDescent="0.3">
      <c r="B81" s="7"/>
      <c r="C81" s="34" t="s">
        <v>78</v>
      </c>
      <c r="D81" s="35">
        <v>1</v>
      </c>
      <c r="E81" s="23" t="s">
        <v>73</v>
      </c>
      <c r="F81" s="36">
        <f>D80-C6</f>
        <v>6</v>
      </c>
      <c r="G81" s="96"/>
      <c r="H81" s="77"/>
      <c r="I81" s="77"/>
      <c r="J81" s="72"/>
    </row>
    <row r="82" spans="2:10" x14ac:dyDescent="0.3">
      <c r="B82" s="7"/>
      <c r="C82" s="34"/>
      <c r="D82" s="23"/>
      <c r="E82" s="23" t="s">
        <v>74</v>
      </c>
      <c r="F82" s="39">
        <f>F76</f>
        <v>3.9215686274509887E-2</v>
      </c>
      <c r="G82" s="96"/>
      <c r="H82" s="71"/>
      <c r="I82" s="71"/>
      <c r="J82" s="72"/>
    </row>
    <row r="83" spans="2:10" x14ac:dyDescent="0.3">
      <c r="B83" s="7"/>
      <c r="C83" s="34"/>
      <c r="D83" s="23"/>
      <c r="E83" s="23" t="s">
        <v>75</v>
      </c>
      <c r="F83" s="37">
        <f>-K52/2</f>
        <v>-4998</v>
      </c>
      <c r="G83" s="96"/>
      <c r="H83" s="71"/>
      <c r="I83" s="71"/>
      <c r="J83" s="72"/>
    </row>
    <row r="84" spans="2:10" x14ac:dyDescent="0.3">
      <c r="B84" s="7"/>
      <c r="C84" s="34"/>
      <c r="D84" s="23"/>
      <c r="E84" s="23" t="s">
        <v>76</v>
      </c>
      <c r="F84" s="37">
        <v>0</v>
      </c>
      <c r="G84" s="96"/>
      <c r="H84" s="71"/>
      <c r="I84" s="71"/>
      <c r="J84" s="72"/>
    </row>
    <row r="85" spans="2:10" ht="15" thickBot="1" x14ac:dyDescent="0.35">
      <c r="B85" s="43"/>
      <c r="C85" s="48"/>
      <c r="D85" s="44"/>
      <c r="E85" s="45" t="s">
        <v>77</v>
      </c>
      <c r="F85" s="49">
        <f>PV(F82/D81,F81,F83,F84,D77)</f>
        <v>26267.230270784679</v>
      </c>
      <c r="G85" s="128"/>
      <c r="H85" s="73"/>
      <c r="I85" s="73"/>
      <c r="J85" s="74"/>
    </row>
    <row r="86" spans="2:10" x14ac:dyDescent="0.3">
      <c r="B86" s="28" t="s">
        <v>85</v>
      </c>
      <c r="C86" s="29" t="s">
        <v>3</v>
      </c>
      <c r="D86" s="50">
        <f>D80</f>
        <v>14</v>
      </c>
      <c r="E86" s="31" t="s">
        <v>3</v>
      </c>
      <c r="F86" s="32"/>
      <c r="G86" s="129"/>
      <c r="H86" s="79"/>
      <c r="I86" s="79"/>
      <c r="J86" s="76"/>
    </row>
    <row r="87" spans="2:10" x14ac:dyDescent="0.3">
      <c r="B87" s="7"/>
      <c r="C87" s="34" t="s">
        <v>78</v>
      </c>
      <c r="D87" s="23">
        <v>1</v>
      </c>
      <c r="E87" s="23" t="s">
        <v>73</v>
      </c>
      <c r="F87" s="36">
        <f>D86-C7</f>
        <v>4</v>
      </c>
      <c r="G87" s="96"/>
      <c r="H87" s="71"/>
      <c r="I87" s="71"/>
      <c r="J87" s="72"/>
    </row>
    <row r="88" spans="2:10" x14ac:dyDescent="0.3">
      <c r="B88" s="7"/>
      <c r="C88" s="34"/>
      <c r="D88" s="23"/>
      <c r="E88" s="23" t="s">
        <v>74</v>
      </c>
      <c r="F88" s="39">
        <f>F82</f>
        <v>3.9215686274509887E-2</v>
      </c>
      <c r="G88" s="96"/>
      <c r="H88" s="71"/>
      <c r="I88" s="71"/>
      <c r="J88" s="72"/>
    </row>
    <row r="89" spans="2:10" x14ac:dyDescent="0.3">
      <c r="B89" s="7"/>
      <c r="C89" s="34"/>
      <c r="D89" s="23"/>
      <c r="E89" s="23" t="s">
        <v>75</v>
      </c>
      <c r="F89" s="37">
        <f>F83</f>
        <v>-4998</v>
      </c>
      <c r="G89" s="96"/>
      <c r="H89" s="71"/>
      <c r="I89" s="71"/>
      <c r="J89" s="72"/>
    </row>
    <row r="90" spans="2:10" x14ac:dyDescent="0.3">
      <c r="B90" s="7"/>
      <c r="C90" s="34"/>
      <c r="D90" s="23"/>
      <c r="E90" s="23" t="s">
        <v>76</v>
      </c>
      <c r="F90" s="37">
        <v>0</v>
      </c>
      <c r="G90" s="96"/>
      <c r="H90" s="71"/>
      <c r="I90" s="71"/>
      <c r="J90" s="72"/>
    </row>
    <row r="91" spans="2:10" ht="15" thickBot="1" x14ac:dyDescent="0.35">
      <c r="B91" s="7"/>
      <c r="C91" s="34"/>
      <c r="D91" s="23"/>
      <c r="E91" s="41" t="s">
        <v>77</v>
      </c>
      <c r="F91" s="42">
        <f>PV(F88/D87,F87,F89,F90,D77)</f>
        <v>18175.800780712863</v>
      </c>
      <c r="G91" s="96"/>
      <c r="H91" s="71"/>
      <c r="I91" s="71"/>
      <c r="J91" s="72"/>
    </row>
    <row r="92" spans="2:10" ht="15" thickBot="1" x14ac:dyDescent="0.35">
      <c r="B92" s="52"/>
      <c r="C92" s="53"/>
      <c r="D92" s="54"/>
      <c r="E92" s="55" t="s">
        <v>86</v>
      </c>
      <c r="F92" s="56">
        <f>F79+F85+F91</f>
        <v>537995.66655884346</v>
      </c>
      <c r="G92" s="130">
        <f>F92</f>
        <v>537995.66655884346</v>
      </c>
      <c r="H92" s="80"/>
      <c r="I92" s="80"/>
      <c r="J92" s="81"/>
    </row>
    <row r="93" spans="2:10" ht="15" thickBot="1" x14ac:dyDescent="0.35">
      <c r="G93" s="103"/>
    </row>
    <row r="94" spans="2:10" x14ac:dyDescent="0.3">
      <c r="B94" s="4" t="s">
        <v>87</v>
      </c>
      <c r="C94" s="61" t="s">
        <v>91</v>
      </c>
      <c r="D94" s="30">
        <v>18</v>
      </c>
      <c r="E94" s="31" t="s">
        <v>2</v>
      </c>
      <c r="F94" s="32"/>
      <c r="G94" s="129"/>
      <c r="H94" s="188" t="s">
        <v>96</v>
      </c>
      <c r="I94" s="188"/>
      <c r="J94" s="33"/>
    </row>
    <row r="95" spans="2:10" x14ac:dyDescent="0.3">
      <c r="B95" s="7"/>
      <c r="C95" s="63" t="s">
        <v>78</v>
      </c>
      <c r="D95" s="35">
        <v>1</v>
      </c>
      <c r="E95" s="23" t="s">
        <v>73</v>
      </c>
      <c r="F95" s="36">
        <f>C33</f>
        <v>4</v>
      </c>
      <c r="G95" s="96"/>
      <c r="H95" s="23" t="s">
        <v>73</v>
      </c>
      <c r="I95" s="36">
        <f>D94-C6</f>
        <v>10</v>
      </c>
      <c r="J95" s="38"/>
    </row>
    <row r="96" spans="2:10" x14ac:dyDescent="0.3">
      <c r="B96" s="7"/>
      <c r="C96" s="63" t="s">
        <v>81</v>
      </c>
      <c r="D96" s="166">
        <v>1</v>
      </c>
      <c r="E96" s="23" t="s">
        <v>74</v>
      </c>
      <c r="F96" s="167">
        <f>C32</f>
        <v>2.4154589371980784E-2</v>
      </c>
      <c r="G96" s="96" t="s">
        <v>118</v>
      </c>
      <c r="H96" s="23" t="s">
        <v>74</v>
      </c>
      <c r="I96" s="39">
        <f>C31</f>
        <v>3.5000000000000003E-2</v>
      </c>
      <c r="J96" s="38" t="s">
        <v>40</v>
      </c>
    </row>
    <row r="97" spans="2:10" x14ac:dyDescent="0.3">
      <c r="B97" s="7"/>
      <c r="C97" s="63"/>
      <c r="D97" s="23"/>
      <c r="E97" s="23" t="s">
        <v>75</v>
      </c>
      <c r="F97" s="40">
        <f>I99</f>
        <v>-15516.586366832331</v>
      </c>
      <c r="G97" s="96"/>
      <c r="H97" s="23" t="s">
        <v>93</v>
      </c>
      <c r="I97" s="37">
        <f>C30</f>
        <v>11000</v>
      </c>
      <c r="J97" s="38"/>
    </row>
    <row r="98" spans="2:10" x14ac:dyDescent="0.3">
      <c r="B98" s="7"/>
      <c r="C98" s="63"/>
      <c r="D98" s="23"/>
      <c r="E98" s="23" t="s">
        <v>76</v>
      </c>
      <c r="F98" s="124">
        <v>0</v>
      </c>
      <c r="G98" s="96"/>
      <c r="H98" s="23" t="s">
        <v>75</v>
      </c>
      <c r="I98" s="37">
        <v>0</v>
      </c>
      <c r="J98" s="38"/>
    </row>
    <row r="99" spans="2:10" ht="15" thickBot="1" x14ac:dyDescent="0.35">
      <c r="B99" s="7"/>
      <c r="C99" s="64" t="s">
        <v>109</v>
      </c>
      <c r="D99" s="44"/>
      <c r="E99" s="45" t="s">
        <v>77</v>
      </c>
      <c r="F99" s="49">
        <f>PV(F96/D95,F95,F97,F98,D96)</f>
        <v>59904.922817208928</v>
      </c>
      <c r="G99" s="128" t="s">
        <v>120</v>
      </c>
      <c r="H99" s="45" t="s">
        <v>94</v>
      </c>
      <c r="I99" s="49">
        <f>FV(I96/D95,I95,I98,I97)</f>
        <v>-15516.586366832331</v>
      </c>
      <c r="J99" s="65"/>
    </row>
    <row r="100" spans="2:10" x14ac:dyDescent="0.3">
      <c r="B100" s="7"/>
      <c r="C100" s="61" t="s">
        <v>78</v>
      </c>
      <c r="D100" s="50">
        <v>1</v>
      </c>
      <c r="E100" s="50" t="s">
        <v>73</v>
      </c>
      <c r="F100" s="66">
        <f>I95</f>
        <v>10</v>
      </c>
      <c r="G100" s="129"/>
      <c r="H100" s="71"/>
      <c r="I100" s="71"/>
      <c r="J100" s="72"/>
    </row>
    <row r="101" spans="2:10" x14ac:dyDescent="0.3">
      <c r="B101" s="7"/>
      <c r="C101" s="63" t="s">
        <v>80</v>
      </c>
      <c r="D101" s="166">
        <v>0</v>
      </c>
      <c r="E101" s="23" t="s">
        <v>74</v>
      </c>
      <c r="F101" s="160">
        <f>C24</f>
        <v>6.0000000000000005E-2</v>
      </c>
      <c r="G101" s="96" t="s">
        <v>119</v>
      </c>
      <c r="H101" s="71"/>
      <c r="I101" s="71"/>
      <c r="J101" s="72"/>
    </row>
    <row r="102" spans="2:10" x14ac:dyDescent="0.3">
      <c r="B102" s="7"/>
      <c r="C102" s="63"/>
      <c r="D102" s="23"/>
      <c r="E102" s="23" t="s">
        <v>75</v>
      </c>
      <c r="F102" s="124">
        <v>0</v>
      </c>
      <c r="G102" s="96"/>
      <c r="H102" s="71"/>
      <c r="I102" s="71"/>
      <c r="J102" s="72"/>
    </row>
    <row r="103" spans="2:10" x14ac:dyDescent="0.3">
      <c r="B103" s="7"/>
      <c r="C103" s="63"/>
      <c r="D103" s="23"/>
      <c r="E103" s="23" t="s">
        <v>76</v>
      </c>
      <c r="F103" s="40">
        <f>F99</f>
        <v>59904.922817208928</v>
      </c>
      <c r="G103" s="96"/>
      <c r="H103" s="71"/>
      <c r="I103" s="71"/>
      <c r="J103" s="72"/>
    </row>
    <row r="104" spans="2:10" x14ac:dyDescent="0.3">
      <c r="B104" s="7"/>
      <c r="C104" s="67" t="s">
        <v>98</v>
      </c>
      <c r="D104" s="23"/>
      <c r="E104" s="41" t="s">
        <v>77</v>
      </c>
      <c r="F104" s="42">
        <f>PV(F101/D100,F100,F102,F103,D101)</f>
        <v>-33450.596012632734</v>
      </c>
      <c r="G104" s="96" t="s">
        <v>121</v>
      </c>
      <c r="H104" s="71"/>
      <c r="I104" s="71"/>
      <c r="J104" s="72"/>
    </row>
    <row r="105" spans="2:10" x14ac:dyDescent="0.3">
      <c r="B105" s="7"/>
      <c r="C105" s="67"/>
      <c r="D105" s="23"/>
      <c r="E105" s="41" t="s">
        <v>99</v>
      </c>
      <c r="F105" s="47">
        <f>C35</f>
        <v>5000</v>
      </c>
      <c r="G105" s="96"/>
      <c r="H105" s="71"/>
      <c r="I105" s="71"/>
      <c r="J105" s="72"/>
    </row>
    <row r="106" spans="2:10" ht="15" thickBot="1" x14ac:dyDescent="0.35">
      <c r="B106" s="43"/>
      <c r="C106" s="68"/>
      <c r="D106" s="44"/>
      <c r="E106" s="45" t="s">
        <v>98</v>
      </c>
      <c r="F106" s="49">
        <f>SUM(F104:F105)</f>
        <v>-28450.596012632734</v>
      </c>
      <c r="G106" s="128"/>
      <c r="H106" s="73"/>
      <c r="I106" s="73"/>
      <c r="J106" s="74"/>
    </row>
    <row r="107" spans="2:10" x14ac:dyDescent="0.3">
      <c r="B107" s="4" t="s">
        <v>87</v>
      </c>
      <c r="C107" s="61" t="s">
        <v>92</v>
      </c>
      <c r="D107" s="50">
        <f>D94</f>
        <v>18</v>
      </c>
      <c r="E107" s="31" t="s">
        <v>3</v>
      </c>
      <c r="F107" s="32"/>
      <c r="G107" s="129"/>
      <c r="H107" s="188" t="s">
        <v>96</v>
      </c>
      <c r="I107" s="188"/>
      <c r="J107" s="33"/>
    </row>
    <row r="108" spans="2:10" x14ac:dyDescent="0.3">
      <c r="B108" s="7"/>
      <c r="C108" s="63" t="s">
        <v>78</v>
      </c>
      <c r="D108" s="23">
        <f>D95</f>
        <v>1</v>
      </c>
      <c r="E108" s="23" t="s">
        <v>73</v>
      </c>
      <c r="F108" s="36">
        <f>F95</f>
        <v>4</v>
      </c>
      <c r="G108" s="96"/>
      <c r="H108" s="23" t="s">
        <v>73</v>
      </c>
      <c r="I108" s="36">
        <f>D107-C7</f>
        <v>8</v>
      </c>
      <c r="J108" s="38"/>
    </row>
    <row r="109" spans="2:10" x14ac:dyDescent="0.3">
      <c r="B109" s="7"/>
      <c r="C109" s="63" t="s">
        <v>81</v>
      </c>
      <c r="D109" s="166">
        <v>1</v>
      </c>
      <c r="E109" s="23" t="s">
        <v>74</v>
      </c>
      <c r="F109" s="167">
        <f>F96</f>
        <v>2.4154589371980784E-2</v>
      </c>
      <c r="G109" s="96"/>
      <c r="H109" s="23" t="s">
        <v>74</v>
      </c>
      <c r="I109" s="39">
        <f>I96</f>
        <v>3.5000000000000003E-2</v>
      </c>
      <c r="J109" s="38" t="s">
        <v>40</v>
      </c>
    </row>
    <row r="110" spans="2:10" x14ac:dyDescent="0.3">
      <c r="B110" s="7"/>
      <c r="C110" s="63"/>
      <c r="D110" s="23"/>
      <c r="E110" s="23" t="s">
        <v>75</v>
      </c>
      <c r="F110" s="40">
        <f>I112</f>
        <v>-14484.899406597431</v>
      </c>
      <c r="G110" s="96"/>
      <c r="H110" s="23" t="s">
        <v>93</v>
      </c>
      <c r="I110" s="37">
        <f>I97</f>
        <v>11000</v>
      </c>
      <c r="J110" s="38"/>
    </row>
    <row r="111" spans="2:10" x14ac:dyDescent="0.3">
      <c r="B111" s="7"/>
      <c r="C111" s="63"/>
      <c r="D111" s="23"/>
      <c r="E111" s="23" t="s">
        <v>76</v>
      </c>
      <c r="F111" s="124">
        <v>0</v>
      </c>
      <c r="G111" s="96"/>
      <c r="H111" s="23" t="s">
        <v>75</v>
      </c>
      <c r="I111" s="37">
        <v>0</v>
      </c>
      <c r="J111" s="38"/>
    </row>
    <row r="112" spans="2:10" ht="15" thickBot="1" x14ac:dyDescent="0.35">
      <c r="B112" s="7"/>
      <c r="C112" s="64" t="str">
        <f>C99</f>
        <v xml:space="preserve">Cost all 3 years </v>
      </c>
      <c r="D112" s="44"/>
      <c r="E112" s="45" t="s">
        <v>77</v>
      </c>
      <c r="F112" s="49">
        <f>PV(F109/D108,F108,F110,F111,D109)</f>
        <v>55921.886454488027</v>
      </c>
      <c r="G112" s="128"/>
      <c r="H112" s="45" t="s">
        <v>94</v>
      </c>
      <c r="I112" s="49">
        <f>FV(I109/D108,I108,I111,I110,0)</f>
        <v>-14484.899406597431</v>
      </c>
      <c r="J112" s="65"/>
    </row>
    <row r="113" spans="2:10" x14ac:dyDescent="0.3">
      <c r="B113" s="7"/>
      <c r="C113" s="61" t="s">
        <v>78</v>
      </c>
      <c r="D113" s="50">
        <f>D108</f>
        <v>1</v>
      </c>
      <c r="E113" s="50" t="s">
        <v>73</v>
      </c>
      <c r="F113" s="66">
        <f>I108</f>
        <v>8</v>
      </c>
      <c r="G113" s="129"/>
      <c r="H113" s="71"/>
      <c r="I113" s="71"/>
      <c r="J113" s="72"/>
    </row>
    <row r="114" spans="2:10" x14ac:dyDescent="0.3">
      <c r="B114" s="7"/>
      <c r="C114" s="63" t="s">
        <v>80</v>
      </c>
      <c r="D114" s="166">
        <v>0</v>
      </c>
      <c r="E114" s="23" t="s">
        <v>74</v>
      </c>
      <c r="F114" s="160">
        <f>F101</f>
        <v>6.0000000000000005E-2</v>
      </c>
      <c r="G114" s="96"/>
      <c r="H114" s="71"/>
      <c r="I114" s="71"/>
      <c r="J114" s="72"/>
    </row>
    <row r="115" spans="2:10" x14ac:dyDescent="0.3">
      <c r="B115" s="7"/>
      <c r="C115" s="63"/>
      <c r="D115" s="23"/>
      <c r="E115" s="23" t="s">
        <v>75</v>
      </c>
      <c r="F115" s="124">
        <v>0</v>
      </c>
      <c r="G115" s="96"/>
      <c r="H115" s="71"/>
      <c r="I115" s="71"/>
      <c r="J115" s="72"/>
    </row>
    <row r="116" spans="2:10" x14ac:dyDescent="0.3">
      <c r="B116" s="7"/>
      <c r="C116" s="63"/>
      <c r="D116" s="23"/>
      <c r="E116" s="23" t="s">
        <v>76</v>
      </c>
      <c r="F116" s="40">
        <f>F112</f>
        <v>55921.886454488027</v>
      </c>
      <c r="G116" s="96"/>
      <c r="H116" s="71"/>
      <c r="I116" s="71"/>
      <c r="J116" s="72"/>
    </row>
    <row r="117" spans="2:10" x14ac:dyDescent="0.3">
      <c r="B117" s="7"/>
      <c r="C117" s="67" t="s">
        <v>98</v>
      </c>
      <c r="D117" s="23"/>
      <c r="E117" s="41" t="s">
        <v>77</v>
      </c>
      <c r="F117" s="42">
        <f>PV(F114/D113,F113,F115,F116,D114)</f>
        <v>-35086.083390318701</v>
      </c>
      <c r="G117" s="96"/>
      <c r="H117" s="71"/>
      <c r="I117" s="71"/>
      <c r="J117" s="72"/>
    </row>
    <row r="118" spans="2:10" x14ac:dyDescent="0.3">
      <c r="B118" s="7"/>
      <c r="C118" s="63"/>
      <c r="D118" s="23"/>
      <c r="E118" s="41" t="s">
        <v>99</v>
      </c>
      <c r="F118" s="47">
        <f>C36</f>
        <v>12000</v>
      </c>
      <c r="G118" s="103"/>
      <c r="H118" s="71"/>
      <c r="I118" s="71"/>
      <c r="J118" s="72"/>
    </row>
    <row r="119" spans="2:10" ht="15" thickBot="1" x14ac:dyDescent="0.35">
      <c r="B119" s="7"/>
      <c r="C119" s="68"/>
      <c r="D119" s="44"/>
      <c r="E119" s="45" t="s">
        <v>98</v>
      </c>
      <c r="F119" s="49">
        <f>SUM(F117:F118)</f>
        <v>-23086.083390318701</v>
      </c>
      <c r="G119" s="131"/>
      <c r="H119" s="71"/>
      <c r="I119" s="71"/>
      <c r="J119" s="72"/>
    </row>
    <row r="120" spans="2:10" ht="15" thickBot="1" x14ac:dyDescent="0.35">
      <c r="B120" s="52"/>
      <c r="C120" s="69"/>
      <c r="D120" s="54"/>
      <c r="E120" s="55" t="s">
        <v>87</v>
      </c>
      <c r="F120" s="56">
        <f>-F106-F119</f>
        <v>51536.679402951435</v>
      </c>
      <c r="G120" s="130">
        <f>F120</f>
        <v>51536.679402951435</v>
      </c>
      <c r="H120" s="80"/>
      <c r="I120" s="80"/>
      <c r="J120" s="81"/>
    </row>
    <row r="121" spans="2:10" ht="43.2" x14ac:dyDescent="0.3">
      <c r="C121" s="113" t="s">
        <v>108</v>
      </c>
      <c r="D121" s="50"/>
      <c r="E121" s="50"/>
      <c r="F121" s="114" t="str">
        <f>F63</f>
        <v>Pat</v>
      </c>
      <c r="G121" s="132" t="str">
        <f>G63</f>
        <v>Leslie</v>
      </c>
    </row>
    <row r="122" spans="2:10" x14ac:dyDescent="0.3">
      <c r="C122" s="63" t="s">
        <v>78</v>
      </c>
      <c r="D122" s="23">
        <v>12</v>
      </c>
      <c r="E122" s="23" t="s">
        <v>73</v>
      </c>
      <c r="F122" s="116">
        <f>(C28-C4)*D122</f>
        <v>360</v>
      </c>
      <c r="G122" s="133">
        <f>(C28-C3)*D122</f>
        <v>384</v>
      </c>
    </row>
    <row r="123" spans="2:10" x14ac:dyDescent="0.3">
      <c r="C123" s="63"/>
      <c r="D123" s="23"/>
      <c r="E123" s="23" t="s">
        <v>74</v>
      </c>
      <c r="F123" s="117">
        <f>C24</f>
        <v>6.0000000000000005E-2</v>
      </c>
      <c r="G123" s="134">
        <f>F123</f>
        <v>6.0000000000000005E-2</v>
      </c>
    </row>
    <row r="124" spans="2:10" ht="15" thickBot="1" x14ac:dyDescent="0.35">
      <c r="C124" s="63" t="s">
        <v>27</v>
      </c>
      <c r="D124" s="23"/>
      <c r="E124" s="23" t="s">
        <v>93</v>
      </c>
      <c r="F124" s="118">
        <f>-F8</f>
        <v>-6700</v>
      </c>
      <c r="G124" s="135">
        <f>F124</f>
        <v>-6700</v>
      </c>
    </row>
    <row r="125" spans="2:10" ht="43.8" thickBot="1" x14ac:dyDescent="0.35">
      <c r="C125" s="63"/>
      <c r="D125" s="23"/>
      <c r="E125" s="23" t="s">
        <v>75</v>
      </c>
      <c r="F125" s="86">
        <f>-H54</f>
        <v>-400</v>
      </c>
      <c r="G125" s="136">
        <v>-1000</v>
      </c>
      <c r="H125" s="119" t="s">
        <v>103</v>
      </c>
    </row>
    <row r="126" spans="2:10" ht="15" thickBot="1" x14ac:dyDescent="0.35">
      <c r="C126" s="68"/>
      <c r="D126" s="44"/>
      <c r="E126" s="45" t="s">
        <v>94</v>
      </c>
      <c r="F126" s="125">
        <f>FV(F123/D122,F122,F125,F124,D77)</f>
        <v>442157.27090319234</v>
      </c>
      <c r="G126" s="137">
        <f>FV(G123/D122,G122,G125,G124,D77)</f>
        <v>1203163.2160273804</v>
      </c>
      <c r="H126" s="2"/>
    </row>
    <row r="127" spans="2:10" x14ac:dyDescent="0.3">
      <c r="C127" s="61" t="s">
        <v>78</v>
      </c>
      <c r="D127" s="50">
        <v>1</v>
      </c>
      <c r="E127" s="50" t="s">
        <v>73</v>
      </c>
      <c r="F127" s="50">
        <f>F122/D122</f>
        <v>30</v>
      </c>
      <c r="G127" s="138">
        <f>G122/D122</f>
        <v>32</v>
      </c>
    </row>
    <row r="128" spans="2:10" x14ac:dyDescent="0.3">
      <c r="C128" s="63"/>
      <c r="D128" s="23"/>
      <c r="E128" s="23" t="s">
        <v>74</v>
      </c>
      <c r="F128" s="121">
        <f>F123</f>
        <v>6.0000000000000005E-2</v>
      </c>
      <c r="G128" s="139">
        <f>G123</f>
        <v>6.0000000000000005E-2</v>
      </c>
    </row>
    <row r="129" spans="3:7" x14ac:dyDescent="0.3">
      <c r="C129" s="63"/>
      <c r="D129" s="23"/>
      <c r="E129" s="23" t="s">
        <v>75</v>
      </c>
      <c r="F129" s="93">
        <v>0</v>
      </c>
      <c r="G129" s="98">
        <v>0</v>
      </c>
    </row>
    <row r="130" spans="3:7" x14ac:dyDescent="0.3">
      <c r="C130" s="63"/>
      <c r="D130" s="23"/>
      <c r="E130" s="23" t="s">
        <v>76</v>
      </c>
      <c r="F130" s="122">
        <f>-F126</f>
        <v>-442157.27090319234</v>
      </c>
      <c r="G130" s="140">
        <f>-G126</f>
        <v>-1203163.2160273804</v>
      </c>
    </row>
    <row r="131" spans="3:7" ht="15" thickBot="1" x14ac:dyDescent="0.35">
      <c r="C131" s="68"/>
      <c r="D131" s="44"/>
      <c r="E131" s="45" t="s">
        <v>77</v>
      </c>
      <c r="F131" s="51">
        <f>PV(F128/D127,F127,F129,F130,D77)</f>
        <v>76984.060320043602</v>
      </c>
      <c r="G131" s="141">
        <f>PV(G128/D127,G127,G129,G130,D77)</f>
        <v>186439.03973779542</v>
      </c>
    </row>
    <row r="132" spans="3:7" ht="28.8" x14ac:dyDescent="0.3">
      <c r="C132" s="113" t="s">
        <v>104</v>
      </c>
      <c r="D132" s="50"/>
      <c r="E132" s="50"/>
      <c r="F132" s="114" t="str">
        <f>F121</f>
        <v>Pat</v>
      </c>
      <c r="G132" s="115" t="str">
        <f>G121</f>
        <v>Leslie</v>
      </c>
    </row>
    <row r="133" spans="3:7" x14ac:dyDescent="0.3">
      <c r="C133" s="63"/>
      <c r="D133" s="23" t="s">
        <v>112</v>
      </c>
      <c r="E133" s="23" t="s">
        <v>64</v>
      </c>
      <c r="F133" s="86">
        <f>F68</f>
        <v>336000</v>
      </c>
      <c r="G133" s="120">
        <f>G68</f>
        <v>336000</v>
      </c>
    </row>
    <row r="134" spans="3:7" x14ac:dyDescent="0.3">
      <c r="C134" s="63"/>
      <c r="D134" s="23" t="s">
        <v>110</v>
      </c>
      <c r="E134" s="23" t="s">
        <v>105</v>
      </c>
      <c r="F134" s="122">
        <f>F92</f>
        <v>537995.66655884346</v>
      </c>
      <c r="G134" s="123">
        <f>G92</f>
        <v>537995.66655884346</v>
      </c>
    </row>
    <row r="135" spans="3:7" x14ac:dyDescent="0.3">
      <c r="C135" s="63"/>
      <c r="D135" s="23" t="s">
        <v>111</v>
      </c>
      <c r="E135" s="23" t="s">
        <v>87</v>
      </c>
      <c r="F135" s="122">
        <f>F120</f>
        <v>51536.679402951435</v>
      </c>
      <c r="G135" s="123">
        <f>G120</f>
        <v>51536.679402951435</v>
      </c>
    </row>
    <row r="136" spans="3:7" ht="28.8" x14ac:dyDescent="0.3">
      <c r="C136" s="63"/>
      <c r="D136" s="23"/>
      <c r="E136" s="142" t="s">
        <v>106</v>
      </c>
      <c r="F136" s="122">
        <f>F131</f>
        <v>76984.060320043602</v>
      </c>
      <c r="G136" s="123">
        <f>G131</f>
        <v>186439.03973779542</v>
      </c>
    </row>
    <row r="137" spans="3:7" ht="16.2" x14ac:dyDescent="0.45">
      <c r="C137" s="63"/>
      <c r="D137" s="23"/>
      <c r="E137" s="23" t="s">
        <v>107</v>
      </c>
      <c r="F137" s="88">
        <f>C42</f>
        <v>200000</v>
      </c>
      <c r="G137" s="143">
        <f>F137</f>
        <v>200000</v>
      </c>
    </row>
    <row r="138" spans="3:7" ht="15" thickBot="1" x14ac:dyDescent="0.35">
      <c r="C138" s="68"/>
      <c r="D138" s="44"/>
      <c r="E138" s="44"/>
      <c r="F138" s="144">
        <f>SUM(F133:F137)</f>
        <v>1202516.4062818384</v>
      </c>
      <c r="G138" s="145">
        <f>SUM(G133:G137)</f>
        <v>1311971.3856995902</v>
      </c>
    </row>
  </sheetData>
  <mergeCells count="6">
    <mergeCell ref="H107:I107"/>
    <mergeCell ref="B2:C2"/>
    <mergeCell ref="E2:I2"/>
    <mergeCell ref="F28:G28"/>
    <mergeCell ref="I28:J28"/>
    <mergeCell ref="H94:I9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FP Canada Data</vt:lpstr>
      <vt:lpstr>Rework for MCQs</vt:lpstr>
      <vt:lpstr>2</vt:lpstr>
      <vt:lpstr>Ted</vt:lpstr>
      <vt:lpstr>Rework for MCQs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Stephenson</dc:creator>
  <cp:lastModifiedBy>Ted Stephenson</cp:lastModifiedBy>
  <dcterms:created xsi:type="dcterms:W3CDTF">2019-08-16T09:47:15Z</dcterms:created>
  <dcterms:modified xsi:type="dcterms:W3CDTF">2019-08-30T14:35:44Z</dcterms:modified>
</cp:coreProperties>
</file>