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CFA 3.2 Direct" sheetId="2" r:id="rId1"/>
    <sheet name="CFA 3.2 Indirect" sheetId="1" r:id="rId2"/>
    <sheet name="Inventory T Accounts" sheetId="3" r:id="rId3"/>
    <sheet name="Derecognition" sheetId="4" r:id="rId4"/>
    <sheet name="AR n RE" sheetId="5" r:id="rId5"/>
    <sheet name="ROE" sheetId="6" r:id="rId6"/>
  </sheets>
  <definedNames>
    <definedName name="_xlnm.Print_Area" localSheetId="0">'CFA 3.2 Direct'!$A$1:$G$42</definedName>
    <definedName name="_xlnm.Print_Area" localSheetId="1">'CFA 3.2 Indirect'!$A$1:$G$108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5" l="1"/>
  <c r="G59" i="5"/>
  <c r="D59" i="5"/>
  <c r="K51" i="5"/>
  <c r="I29" i="6"/>
  <c r="H29" i="6"/>
  <c r="I27" i="6"/>
  <c r="H27" i="6"/>
  <c r="I26" i="6"/>
  <c r="H26" i="6"/>
  <c r="I24" i="6"/>
  <c r="H24" i="6"/>
  <c r="F18" i="5"/>
  <c r="C18" i="5"/>
  <c r="F7" i="5" l="1"/>
  <c r="C7" i="5"/>
  <c r="E6" i="5"/>
  <c r="M17" i="4" l="1"/>
  <c r="N17" i="4"/>
  <c r="G14" i="4"/>
  <c r="G17" i="4" s="1"/>
  <c r="F10" i="4"/>
  <c r="H9" i="4"/>
  <c r="H13" i="4" s="1"/>
  <c r="H17" i="4" s="1"/>
  <c r="T17" i="3" l="1"/>
  <c r="O18" i="3"/>
  <c r="T18" i="3" s="1"/>
  <c r="O19" i="3"/>
  <c r="T19" i="3" s="1"/>
  <c r="C21" i="3"/>
  <c r="C20" i="3"/>
  <c r="T8" i="3"/>
  <c r="O7" i="3"/>
  <c r="O6" i="3"/>
  <c r="T7" i="3"/>
  <c r="T6" i="3"/>
  <c r="T9" i="3" s="1"/>
  <c r="J8" i="3"/>
  <c r="J7" i="3"/>
  <c r="J6" i="3"/>
  <c r="C9" i="3"/>
  <c r="E9" i="3"/>
  <c r="M20" i="3"/>
  <c r="M9" i="3"/>
  <c r="S19" i="3"/>
  <c r="S18" i="3"/>
  <c r="S17" i="3"/>
  <c r="S20" i="3" s="1"/>
  <c r="S8" i="3"/>
  <c r="S7" i="3"/>
  <c r="S6" i="3"/>
  <c r="I19" i="3"/>
  <c r="I18" i="3"/>
  <c r="I17" i="3"/>
  <c r="I20" i="3" s="1"/>
  <c r="D20" i="3" s="1"/>
  <c r="J20" i="3" s="1"/>
  <c r="I21" i="3" s="1"/>
  <c r="I8" i="3"/>
  <c r="I7" i="3"/>
  <c r="I6" i="3"/>
  <c r="I9" i="3" s="1"/>
  <c r="S9" i="3" l="1"/>
  <c r="S10" i="3" s="1"/>
  <c r="C10" i="3"/>
  <c r="O9" i="3"/>
  <c r="M10" i="3" s="1"/>
  <c r="T20" i="3"/>
  <c r="S21" i="3" s="1"/>
  <c r="O20" i="3"/>
  <c r="M21" i="3" s="1"/>
  <c r="J9" i="3"/>
  <c r="I10" i="3" s="1"/>
  <c r="C108" i="1"/>
  <c r="B108" i="1"/>
  <c r="C107" i="1"/>
  <c r="B107" i="1"/>
  <c r="C106" i="1"/>
  <c r="B106" i="1"/>
  <c r="C99" i="2" l="1"/>
  <c r="C98" i="2"/>
  <c r="C93" i="2"/>
  <c r="C92" i="2"/>
  <c r="C78" i="2"/>
  <c r="C74" i="2"/>
  <c r="C69" i="2"/>
  <c r="C64" i="2"/>
  <c r="C58" i="2"/>
  <c r="C53" i="2"/>
  <c r="B100" i="2"/>
  <c r="B101" i="2"/>
  <c r="B135" i="2"/>
  <c r="B134" i="2"/>
  <c r="B133" i="2"/>
  <c r="B132" i="2"/>
  <c r="B129" i="2"/>
  <c r="B128" i="2"/>
  <c r="B127" i="2"/>
  <c r="B126" i="2"/>
  <c r="B122" i="2" l="1"/>
  <c r="B121" i="2"/>
  <c r="B120" i="2"/>
  <c r="B118" i="2"/>
  <c r="B117" i="2"/>
  <c r="B116" i="2"/>
  <c r="B115" i="2"/>
  <c r="B113" i="2"/>
  <c r="B112" i="2"/>
  <c r="B111" i="2"/>
  <c r="B109" i="2"/>
  <c r="B108" i="2"/>
  <c r="B107" i="2"/>
  <c r="B106" i="2"/>
  <c r="B105" i="2"/>
  <c r="B104" i="2"/>
  <c r="B103" i="2"/>
  <c r="A117" i="2"/>
  <c r="A116" i="2"/>
  <c r="A115" i="2"/>
  <c r="A112" i="2"/>
  <c r="A111" i="2"/>
  <c r="A108" i="2"/>
  <c r="A107" i="2"/>
  <c r="A106" i="2"/>
  <c r="A105" i="2"/>
  <c r="A104" i="2"/>
  <c r="A103" i="2"/>
  <c r="B98" i="2"/>
  <c r="B97" i="2"/>
  <c r="B96" i="2"/>
  <c r="B95" i="2"/>
  <c r="B93" i="2"/>
  <c r="B92" i="2"/>
  <c r="B89" i="2"/>
  <c r="B88" i="2"/>
  <c r="B87" i="2"/>
  <c r="B85" i="2"/>
  <c r="B84" i="2"/>
  <c r="B83" i="2"/>
  <c r="B82" i="2"/>
  <c r="B80" i="2"/>
  <c r="B79" i="2"/>
  <c r="B78" i="2"/>
  <c r="B77" i="2"/>
  <c r="H91" i="2"/>
  <c r="H90" i="2"/>
  <c r="H92" i="2" s="1"/>
  <c r="I81" i="2"/>
  <c r="H81" i="2"/>
  <c r="E81" i="2"/>
  <c r="F87" i="2"/>
  <c r="I88" i="2" s="1"/>
  <c r="G80" i="2"/>
  <c r="B73" i="2"/>
  <c r="B72" i="2"/>
  <c r="G71" i="2"/>
  <c r="G72" i="2"/>
  <c r="G70" i="2"/>
  <c r="B68" i="2"/>
  <c r="B67" i="2"/>
  <c r="B63" i="2"/>
  <c r="B62" i="2"/>
  <c r="B61" i="2"/>
  <c r="A61" i="2"/>
  <c r="G60" i="2"/>
  <c r="G61" i="2"/>
  <c r="G59" i="2"/>
  <c r="B57" i="2"/>
  <c r="B56" i="2"/>
  <c r="A56" i="2"/>
  <c r="B52" i="2"/>
  <c r="B50" i="2"/>
  <c r="B49" i="2"/>
  <c r="G48" i="2"/>
  <c r="B45" i="2"/>
  <c r="B44" i="2"/>
  <c r="B46" i="2" s="1"/>
  <c r="C41" i="2"/>
  <c r="B41" i="2"/>
  <c r="C33" i="2"/>
  <c r="B33" i="2"/>
  <c r="C21" i="2"/>
  <c r="B21" i="2"/>
  <c r="F14" i="2"/>
  <c r="F12" i="2"/>
  <c r="C12" i="2"/>
  <c r="F11" i="2"/>
  <c r="C9" i="2"/>
  <c r="F9" i="2" s="1"/>
  <c r="F8" i="2"/>
  <c r="F7" i="2"/>
  <c r="F6" i="2"/>
  <c r="C5" i="2"/>
  <c r="C10" i="2" s="1"/>
  <c r="F10" i="2" s="1"/>
  <c r="F4" i="2"/>
  <c r="F3" i="2"/>
  <c r="H88" i="2" l="1"/>
  <c r="B74" i="2"/>
  <c r="B58" i="2"/>
  <c r="B51" i="2"/>
  <c r="B53" i="2" s="1"/>
  <c r="F71" i="2"/>
  <c r="B69" i="2"/>
  <c r="F5" i="2"/>
  <c r="B64" i="2"/>
  <c r="F60" i="2"/>
  <c r="C13" i="2"/>
  <c r="C15" i="2" s="1"/>
  <c r="F15" i="2" s="1"/>
  <c r="C26" i="2"/>
  <c r="F17" i="2" s="1"/>
  <c r="B35" i="2"/>
  <c r="C35" i="2"/>
  <c r="B26" i="2"/>
  <c r="B95" i="1"/>
  <c r="Q53" i="1"/>
  <c r="B51" i="1"/>
  <c r="F19" i="2" l="1"/>
  <c r="F13" i="2"/>
  <c r="F21" i="2"/>
  <c r="D14" i="2"/>
  <c r="F24" i="2"/>
  <c r="F22" i="2"/>
  <c r="F20" i="2"/>
  <c r="F26" i="2"/>
  <c r="F18" i="2"/>
  <c r="F25" i="2"/>
  <c r="F23" i="2"/>
  <c r="C42" i="2"/>
  <c r="F35" i="2" s="1"/>
  <c r="E26" i="2"/>
  <c r="E23" i="2"/>
  <c r="E20" i="2"/>
  <c r="E22" i="2"/>
  <c r="E19" i="2"/>
  <c r="E25" i="2"/>
  <c r="E21" i="2"/>
  <c r="E24" i="2"/>
  <c r="E17" i="2"/>
  <c r="E18" i="2"/>
  <c r="B42" i="2"/>
  <c r="Q49" i="1"/>
  <c r="K49" i="1"/>
  <c r="B43" i="1"/>
  <c r="B42" i="1"/>
  <c r="Q52" i="1" l="1"/>
  <c r="Q54" i="1" s="1"/>
  <c r="B52" i="1" s="1"/>
  <c r="B67" i="1" s="1"/>
  <c r="E37" i="2"/>
  <c r="E34" i="2"/>
  <c r="E31" i="2"/>
  <c r="E29" i="2"/>
  <c r="E42" i="2"/>
  <c r="E40" i="2"/>
  <c r="E36" i="2"/>
  <c r="E30" i="2"/>
  <c r="E39" i="2"/>
  <c r="E41" i="2"/>
  <c r="E38" i="2"/>
  <c r="E32" i="2"/>
  <c r="E28" i="2"/>
  <c r="E33" i="2"/>
  <c r="E35" i="2"/>
  <c r="F40" i="2"/>
  <c r="F30" i="2"/>
  <c r="F42" i="2"/>
  <c r="F36" i="2"/>
  <c r="F39" i="2"/>
  <c r="F29" i="2"/>
  <c r="F38" i="2"/>
  <c r="F32" i="2"/>
  <c r="F28" i="2"/>
  <c r="F34" i="2"/>
  <c r="F37" i="2"/>
  <c r="F31" i="2"/>
  <c r="F41" i="2"/>
  <c r="F33" i="2"/>
  <c r="B59" i="1" l="1"/>
  <c r="B58" i="1"/>
  <c r="B57" i="1"/>
  <c r="B56" i="1"/>
  <c r="B61" i="1"/>
  <c r="B55" i="1"/>
  <c r="B54" i="1"/>
  <c r="B53" i="1"/>
  <c r="C50" i="1"/>
  <c r="B48" i="1"/>
  <c r="B47" i="1"/>
  <c r="B46" i="1"/>
  <c r="B45" i="1"/>
  <c r="B44" i="1"/>
  <c r="C33" i="1"/>
  <c r="C104" i="1" s="1"/>
  <c r="B33" i="1"/>
  <c r="B104" i="1" s="1"/>
  <c r="F11" i="1"/>
  <c r="F8" i="1"/>
  <c r="F7" i="1"/>
  <c r="C12" i="1"/>
  <c r="C9" i="1"/>
  <c r="F9" i="1" s="1"/>
  <c r="F12" i="1"/>
  <c r="B92" i="1"/>
  <c r="B93" i="1" s="1"/>
  <c r="B90" i="1"/>
  <c r="B91" i="1" s="1"/>
  <c r="B88" i="1"/>
  <c r="B89" i="1" s="1"/>
  <c r="C71" i="1"/>
  <c r="C38" i="1"/>
  <c r="B38" i="1"/>
  <c r="C49" i="1"/>
  <c r="C21" i="1"/>
  <c r="C26" i="1" s="1"/>
  <c r="B21" i="1"/>
  <c r="B26" i="1" s="1"/>
  <c r="B96" i="1" s="1"/>
  <c r="F14" i="1"/>
  <c r="F6" i="1"/>
  <c r="C5" i="1"/>
  <c r="B74" i="1" s="1"/>
  <c r="F4" i="1"/>
  <c r="F3" i="1"/>
  <c r="B103" i="1" l="1"/>
  <c r="B105" i="1" s="1"/>
  <c r="C103" i="1"/>
  <c r="C105" i="1" s="1"/>
  <c r="B84" i="1"/>
  <c r="B35" i="1"/>
  <c r="C10" i="1"/>
  <c r="B87" i="1"/>
  <c r="F5" i="1"/>
  <c r="C35" i="1"/>
  <c r="B83" i="1"/>
  <c r="B94" i="1" l="1"/>
  <c r="F21" i="1"/>
  <c r="F22" i="1"/>
  <c r="F23" i="1"/>
  <c r="E17" i="1"/>
  <c r="E23" i="1"/>
  <c r="E22" i="1"/>
  <c r="F17" i="1"/>
  <c r="E25" i="1"/>
  <c r="E20" i="1"/>
  <c r="E24" i="1"/>
  <c r="F25" i="1"/>
  <c r="F24" i="1"/>
  <c r="F20" i="1"/>
  <c r="F18" i="1"/>
  <c r="E26" i="1"/>
  <c r="E21" i="1"/>
  <c r="E19" i="1"/>
  <c r="E18" i="1"/>
  <c r="F19" i="1"/>
  <c r="F26" i="1"/>
  <c r="C13" i="1"/>
  <c r="B76" i="1" s="1"/>
  <c r="B101" i="1"/>
  <c r="F10" i="1"/>
  <c r="B100" i="1"/>
  <c r="B75" i="1"/>
  <c r="B39" i="1"/>
  <c r="C39" i="1"/>
  <c r="F35" i="1" l="1"/>
  <c r="F32" i="1"/>
  <c r="F30" i="1"/>
  <c r="F31" i="1"/>
  <c r="E32" i="1"/>
  <c r="E31" i="1"/>
  <c r="E30" i="1"/>
  <c r="C15" i="1"/>
  <c r="F13" i="1"/>
  <c r="D14" i="1"/>
  <c r="E34" i="1"/>
  <c r="E37" i="1"/>
  <c r="E39" i="1"/>
  <c r="E28" i="1"/>
  <c r="E36" i="1"/>
  <c r="E38" i="1"/>
  <c r="E29" i="1"/>
  <c r="E33" i="1"/>
  <c r="E35" i="1"/>
  <c r="F37" i="1"/>
  <c r="F36" i="1"/>
  <c r="F28" i="1"/>
  <c r="F34" i="1"/>
  <c r="F29" i="1"/>
  <c r="F39" i="1"/>
  <c r="F33" i="1"/>
  <c r="F38" i="1"/>
  <c r="F15" i="1" l="1"/>
  <c r="B63" i="1"/>
  <c r="B68" i="1" s="1"/>
  <c r="B81" i="1"/>
  <c r="B78" i="1"/>
  <c r="B41" i="1"/>
  <c r="B77" i="1"/>
  <c r="B80" i="1"/>
  <c r="B82" i="1"/>
  <c r="B66" i="1" l="1"/>
  <c r="B69" i="1" s="1"/>
  <c r="C72" i="1" s="1"/>
  <c r="B60" i="1"/>
  <c r="B62" i="1" s="1"/>
  <c r="B64" i="1" s="1"/>
  <c r="H49" i="2"/>
  <c r="L50" i="1"/>
  <c r="I50" i="1"/>
</calcChain>
</file>

<file path=xl/sharedStrings.xml><?xml version="1.0" encoding="utf-8"?>
<sst xmlns="http://schemas.openxmlformats.org/spreadsheetml/2006/main" count="539" uniqueCount="248">
  <si>
    <t>% Sales</t>
  </si>
  <si>
    <t>Income Statement</t>
  </si>
  <si>
    <t>Sales</t>
  </si>
  <si>
    <t>CGS</t>
  </si>
  <si>
    <t>Gross Profit</t>
  </si>
  <si>
    <t>EBIT = Operating Profit</t>
  </si>
  <si>
    <t>Interest</t>
  </si>
  <si>
    <t>EBT</t>
  </si>
  <si>
    <t>Taxes</t>
  </si>
  <si>
    <t>Net Income</t>
  </si>
  <si>
    <t>Balance Sheet</t>
  </si>
  <si>
    <t>Cash</t>
  </si>
  <si>
    <t>AR</t>
  </si>
  <si>
    <t>Inventory</t>
  </si>
  <si>
    <t>Prepaid Expenses</t>
  </si>
  <si>
    <t>Total CA</t>
  </si>
  <si>
    <t>Less Acc Dep</t>
  </si>
  <si>
    <t>Total Assets</t>
  </si>
  <si>
    <t>AP</t>
  </si>
  <si>
    <t>Total CL</t>
  </si>
  <si>
    <t>Long Term Liabilities</t>
  </si>
  <si>
    <t>Total Liabilities</t>
  </si>
  <si>
    <t>Preferred Stock (10%, $100 Par)</t>
  </si>
  <si>
    <t>Common Stock</t>
  </si>
  <si>
    <t>Additioanl Paid Up Capital</t>
  </si>
  <si>
    <t>Retained Earnings</t>
  </si>
  <si>
    <t>Total Shareholder Equity</t>
  </si>
  <si>
    <t>Total Liabilities &amp; SHE</t>
  </si>
  <si>
    <t>Cash Flow - Balance Sheet Changes</t>
  </si>
  <si>
    <t>Change AR</t>
  </si>
  <si>
    <t>Change Inventory</t>
  </si>
  <si>
    <t>Change Prepaid</t>
  </si>
  <si>
    <t>Change PP &amp; E</t>
  </si>
  <si>
    <t>Change Common Stock</t>
  </si>
  <si>
    <t>Change in Cash</t>
  </si>
  <si>
    <t>Opening CASH Balance</t>
  </si>
  <si>
    <t>Less Dividend</t>
  </si>
  <si>
    <t>Closing Cash Balance</t>
  </si>
  <si>
    <t>Operating Cash Flows</t>
  </si>
  <si>
    <t>Investing Cash Flows</t>
  </si>
  <si>
    <t>Financing Cash Flows</t>
  </si>
  <si>
    <t>check</t>
  </si>
  <si>
    <t>Financial Analysis</t>
  </si>
  <si>
    <t>Profitability</t>
  </si>
  <si>
    <t>GP %</t>
  </si>
  <si>
    <t>EBIT %</t>
  </si>
  <si>
    <t>EBT%</t>
  </si>
  <si>
    <t>NI%</t>
  </si>
  <si>
    <t>ROA</t>
  </si>
  <si>
    <t>ROTC = EBIT/(Avg Total Debt + Avg Total Equity)</t>
  </si>
  <si>
    <t>ROE</t>
  </si>
  <si>
    <t>ROE = NI/S*S/A*A/E</t>
  </si>
  <si>
    <t>NI/EBT*EBT/EBIT*EBIT/Revenue*Revenue/Avg Total Assets * Avge Total Assets / Avg SH Equity</t>
  </si>
  <si>
    <t>Current Ratio</t>
  </si>
  <si>
    <t>Liquidity</t>
  </si>
  <si>
    <t>Quick Ratio</t>
  </si>
  <si>
    <t>Cash Ratio</t>
  </si>
  <si>
    <t>Defensive Internal Ratio</t>
  </si>
  <si>
    <t>Cash Conversion</t>
  </si>
  <si>
    <t>AR Turnover</t>
  </si>
  <si>
    <t>Activity</t>
  </si>
  <si>
    <t>DSO</t>
  </si>
  <si>
    <t>CGS/Inventory = inventory turnover</t>
  </si>
  <si>
    <t>Days of Inventory on Hand</t>
  </si>
  <si>
    <t>CGS/AP</t>
  </si>
  <si>
    <t>Days Payable</t>
  </si>
  <si>
    <t>Sales/Working Capital</t>
  </si>
  <si>
    <t>Sales/Fixed Assets</t>
  </si>
  <si>
    <t>Sales/Assets</t>
  </si>
  <si>
    <t>Debt / Assets</t>
  </si>
  <si>
    <t xml:space="preserve">Debt </t>
  </si>
  <si>
    <t>Debt / Capital - debt as a % Capital</t>
  </si>
  <si>
    <t>Debt / Equity</t>
  </si>
  <si>
    <t>Times Interest Earned</t>
  </si>
  <si>
    <t>DFL = Assets / Equity</t>
  </si>
  <si>
    <t>Daily Cash Expenditures</t>
  </si>
  <si>
    <t>Current Assets</t>
  </si>
  <si>
    <t>Current Liabilities</t>
  </si>
  <si>
    <t>Working Capital</t>
  </si>
  <si>
    <t>Total Debt</t>
  </si>
  <si>
    <t>Common Equity - Book Value</t>
  </si>
  <si>
    <t>Total Capital</t>
  </si>
  <si>
    <t>Salaries &amp; Wages</t>
  </si>
  <si>
    <t>Depreciation Expense</t>
  </si>
  <si>
    <t>Other Operating</t>
  </si>
  <si>
    <t>Gain on Sale Equipment</t>
  </si>
  <si>
    <t>Total Operating Expenses</t>
  </si>
  <si>
    <t>Land</t>
  </si>
  <si>
    <t>Buildings</t>
  </si>
  <si>
    <t>Equipment</t>
  </si>
  <si>
    <t xml:space="preserve">Treasury Stock </t>
  </si>
  <si>
    <t>Salaries Payable</t>
  </si>
  <si>
    <t>Interest Payable</t>
  </si>
  <si>
    <t>Income Tax Payable</t>
  </si>
  <si>
    <t>Other Accrued liabilities</t>
  </si>
  <si>
    <t>Change Land</t>
  </si>
  <si>
    <t>Change Building</t>
  </si>
  <si>
    <t>Change Depreciation</t>
  </si>
  <si>
    <t>Change Accounts Payable</t>
  </si>
  <si>
    <t>Change Salaries Payable</t>
  </si>
  <si>
    <t>Change Interest Payable</t>
  </si>
  <si>
    <t>Change Income Tax Payable</t>
  </si>
  <si>
    <t>Change Other Accrued Liabilities</t>
  </si>
  <si>
    <t>Change Long Term Liabilities</t>
  </si>
  <si>
    <t>*During 2009, Acme purchased new equipment for a total cost of $1,300.</t>
  </si>
  <si>
    <t>Debit</t>
  </si>
  <si>
    <t>Credit</t>
  </si>
  <si>
    <t>Date</t>
  </si>
  <si>
    <t>Amt</t>
  </si>
  <si>
    <t>PP &amp; E</t>
  </si>
  <si>
    <t>Acc. Dep</t>
  </si>
  <si>
    <t>Add Back Depreciation</t>
  </si>
  <si>
    <t>Less Gain on Sales</t>
  </si>
  <si>
    <t>Non Cash</t>
  </si>
  <si>
    <t>*During 2009, Acme purchased new equipment for a total cost of $1,300. No items impacted retained earnings other than net income and dividends</t>
  </si>
  <si>
    <t>OB</t>
  </si>
  <si>
    <t>Plus</t>
  </si>
  <si>
    <t>Given</t>
  </si>
  <si>
    <t>Bought New Equipment</t>
  </si>
  <si>
    <t>Sold Old Equipment</t>
  </si>
  <si>
    <t>Start</t>
  </si>
  <si>
    <t>Note Given</t>
  </si>
  <si>
    <t>See T Account</t>
  </si>
  <si>
    <t>Acc Dep Sold</t>
  </si>
  <si>
    <t>NBV Sold</t>
  </si>
  <si>
    <t>Gain on Sale</t>
  </si>
  <si>
    <t>Calculate</t>
  </si>
  <si>
    <t>Indirect Method</t>
  </si>
  <si>
    <t>3.2.1.1. Cash Received from Customers</t>
  </si>
  <si>
    <t>Revenue</t>
  </si>
  <si>
    <t>Less Increase AR</t>
  </si>
  <si>
    <t>Cash from Customers</t>
  </si>
  <si>
    <t>3.2.1.2. Cash Paid to Suppliers</t>
  </si>
  <si>
    <t>Cost of Goods Sold</t>
  </si>
  <si>
    <t>Plus Increase Inventory</t>
  </si>
  <si>
    <t>Purchases</t>
  </si>
  <si>
    <t>Less Increase in AP</t>
  </si>
  <si>
    <t>Cash Paid to Supplier</t>
  </si>
  <si>
    <t>3.2.1.3. Cash Paid to Employees</t>
  </si>
  <si>
    <t>Less Increase In Salaries Payable</t>
  </si>
  <si>
    <t>Cash Paid to Employees</t>
  </si>
  <si>
    <t>O/B</t>
  </si>
  <si>
    <t xml:space="preserve">C/B </t>
  </si>
  <si>
    <t>I/S</t>
  </si>
  <si>
    <t>3.2.1.4. Cash Paid for Other Operating</t>
  </si>
  <si>
    <t>C/B</t>
  </si>
  <si>
    <t>Less Decrease Prepaid</t>
  </si>
  <si>
    <t>Collections</t>
  </si>
  <si>
    <t>Wages Paid</t>
  </si>
  <si>
    <t>Less Increase in Other Accrued Liabilities</t>
  </si>
  <si>
    <t>3.2.1.5. Cash Paid for Interest</t>
  </si>
  <si>
    <t>Interest Expense</t>
  </si>
  <si>
    <t>Plus Decrease interest Payable</t>
  </si>
  <si>
    <t>Interest Paid</t>
  </si>
  <si>
    <t>3.2.1.6. Cash Paid for Income Taxes</t>
  </si>
  <si>
    <t>Income Tax Expense</t>
  </si>
  <si>
    <t>Less Increase in Tax Payable</t>
  </si>
  <si>
    <t>Cash Paid for Other Operating</t>
  </si>
  <si>
    <t>Cash Paid for Interest</t>
  </si>
  <si>
    <t>Cash Paid for Taxes</t>
  </si>
  <si>
    <t>3.2.2. Investing Activities</t>
  </si>
  <si>
    <t>Beginning Balance Equipment</t>
  </si>
  <si>
    <t xml:space="preserve">Equipment Bought </t>
  </si>
  <si>
    <t>Beginning Acc Dep</t>
  </si>
  <si>
    <t>Plus Depreciation</t>
  </si>
  <si>
    <t>Less Ending Balance</t>
  </si>
  <si>
    <t>Acc Dep Equipment Sold</t>
  </si>
  <si>
    <t>NBV Equipment Sold</t>
  </si>
  <si>
    <t>Equals Equipment Sold</t>
  </si>
  <si>
    <t>Cash from Sold Equipment</t>
  </si>
  <si>
    <t>Minus Ending Balance</t>
  </si>
  <si>
    <t>3.2.3. Financing Activities</t>
  </si>
  <si>
    <t>Change in Long Term Debt</t>
  </si>
  <si>
    <t>Change in Common Stock</t>
  </si>
  <si>
    <t>O/B Retained Earnings</t>
  </si>
  <si>
    <t>Plus Net Income</t>
  </si>
  <si>
    <t>Equals Dividends</t>
  </si>
  <si>
    <t>CFO</t>
  </si>
  <si>
    <t>CFI</t>
  </si>
  <si>
    <t>CFF</t>
  </si>
  <si>
    <t>Net Cash from Ops</t>
  </si>
  <si>
    <t>Net Cash Investing</t>
  </si>
  <si>
    <t>Net Cash from Financing</t>
  </si>
  <si>
    <t>Opening Cash Balance</t>
  </si>
  <si>
    <t>Net Change Cash</t>
  </si>
  <si>
    <t>Closing Balance</t>
  </si>
  <si>
    <t>FCFF</t>
  </si>
  <si>
    <t>Plus Interest Paid x (1-Tax Rate)</t>
  </si>
  <si>
    <t>Less CFI</t>
  </si>
  <si>
    <t>FCFE</t>
  </si>
  <si>
    <t>Less Net Investments in Fixed Cap</t>
  </si>
  <si>
    <t>Less: Debt Repayment</t>
  </si>
  <si>
    <t>Total Inflow</t>
  </si>
  <si>
    <t>Total Outlow</t>
  </si>
  <si>
    <t>Units</t>
  </si>
  <si>
    <t>Inventory $</t>
  </si>
  <si>
    <t>In</t>
  </si>
  <si>
    <t>Out</t>
  </si>
  <si>
    <t>What are the reported cost of sales, gross profit, and ending inventory balances for 2009 under the specific identification method?</t>
  </si>
  <si>
    <t>Specific</t>
  </si>
  <si>
    <t>Weighted Average</t>
  </si>
  <si>
    <t>FIFO</t>
  </si>
  <si>
    <t>LIFO</t>
  </si>
  <si>
    <t>Balace</t>
  </si>
  <si>
    <t>Balance</t>
  </si>
  <si>
    <t>Moussilauke Diners Inc., a hypothetical company, as a result of revamping its menus to focus on healthier food items, sells 450 used pizza ovens and reports a gain on the sale of $1.2 million. The ovens had a carrying amount of $1.9 million (original cost of $5.1 million less $3.2 million of accumulated depreciation). At what price did Moussilauke sell the ovens?</t>
  </si>
  <si>
    <t>DR</t>
  </si>
  <si>
    <t>CR</t>
  </si>
  <si>
    <t>Asset</t>
  </si>
  <si>
    <t>Acc Dep</t>
  </si>
  <si>
    <t>Sold!</t>
  </si>
  <si>
    <t>Solve</t>
  </si>
  <si>
    <t>Total</t>
  </si>
  <si>
    <t>X</t>
  </si>
  <si>
    <t>Make Balance</t>
  </si>
  <si>
    <t>OB + Sales - CB : 13,500  + 100 ,000 - 25,000 = 88,500</t>
  </si>
  <si>
    <t>AFDA</t>
  </si>
  <si>
    <t>CB</t>
  </si>
  <si>
    <t>Calclate</t>
  </si>
  <si>
    <t>56 + X - 84 = 92</t>
  </si>
  <si>
    <t>X = 92 + 84 - 86 = 120</t>
  </si>
  <si>
    <t>RE</t>
  </si>
  <si>
    <t>Dividned</t>
  </si>
  <si>
    <t>A = L + E</t>
  </si>
  <si>
    <t>5,250 = 2,200 + E</t>
  </si>
  <si>
    <t>E = 3,050</t>
  </si>
  <si>
    <t>Capital = 1,400</t>
  </si>
  <si>
    <t>Retained Earings = 3,050 - 1,400 = 1,650</t>
  </si>
  <si>
    <t>800 + X - 200 = 1,650</t>
  </si>
  <si>
    <t>X= 1,650 + 200 - 800 = 1,050</t>
  </si>
  <si>
    <t>OB + Sales - CB : 6,000,000 + 50,000,000 - 7,500,000  = 48,500,000</t>
  </si>
  <si>
    <t>OB + Sales - X = CB</t>
  </si>
  <si>
    <t>X = OB + Sales - CB</t>
  </si>
  <si>
    <t>Net Sales</t>
  </si>
  <si>
    <t>EQUITY</t>
  </si>
  <si>
    <t>Sales / Assets</t>
  </si>
  <si>
    <t>A</t>
  </si>
  <si>
    <t>B</t>
  </si>
  <si>
    <t>Assets / Equity</t>
  </si>
  <si>
    <r>
      <t xml:space="preserve">To get same ROE NI/Sales for A </t>
    </r>
    <r>
      <rPr>
        <sz val="11"/>
        <color theme="1"/>
        <rFont val="Calibri"/>
        <family val="2"/>
      </rPr>
      <t>&gt; B</t>
    </r>
  </si>
  <si>
    <t>Multiply</t>
  </si>
  <si>
    <t>Equity</t>
  </si>
  <si>
    <t>Income</t>
  </si>
  <si>
    <t>Div</t>
  </si>
  <si>
    <t>Loss</t>
  </si>
  <si>
    <t>TS</t>
  </si>
  <si>
    <t>OB + Sales - CB : 13,500 + 100,000 - 25,000 = 88,500</t>
  </si>
  <si>
    <t>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</si>
</sst>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_-;\-&quot;$&quot;* #,##0_-;_-&quot;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* #,##0_-;\-* #,##0_-;_-* &quot;-&quot;??_-;_-@_-"/>
    <numFmt numFmtId="168" formatCode="0.0%"/>
    <numFmt numFmtId="169" formatCode="_-* #,##0.0_-;\-* #,##0.0_-;_-* &quot;-&quot;??_-;_-@_-"/>
    <numFmt numFmtId="170" formatCode="yyyy\-mm\-dd"/>
    <numFmt numFmtId="171" formatCode="&quot;$&quot;#,##0.00"/>
    <numFmt numFmtId="172" formatCode="&quot;$&quot;#,##0"/>
    <numFmt numFmtId="173" formatCode="_([$€-2]\ * #,##0_);_([$€-2]\ * \(#,##0\);_([$€-2]\ * &quot;-&quot;??_);_(@_)"/>
    <numFmt numFmtId="174" formatCode="_ [$¥-804]* #,##0.00_ ;_ [$¥-804]* \-#,##0.00_ ;_ [$¥-804]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singleAccounting"/>
      <sz val="11"/>
      <color rgb="FF3F3F76"/>
      <name val="Calibri"/>
      <family val="2"/>
      <scheme val="minor"/>
    </font>
    <font>
      <u/>
      <sz val="11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u val="double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singleAccounting"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92">
    <xf numFmtId="0" fontId="0" fillId="0" borderId="0" xfId="0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3" borderId="3" xfId="0" applyFill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3" borderId="0" xfId="0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165" fontId="1" fillId="0" borderId="8" xfId="1" applyFont="1" applyFill="1" applyBorder="1"/>
    <xf numFmtId="9" fontId="1" fillId="0" borderId="6" xfId="3" applyFont="1" applyFill="1" applyBorder="1"/>
    <xf numFmtId="9" fontId="1" fillId="0" borderId="7" xfId="3" applyFont="1" applyFill="1" applyBorder="1"/>
    <xf numFmtId="0" fontId="0" fillId="0" borderId="6" xfId="0" applyFont="1" applyBorder="1"/>
    <xf numFmtId="164" fontId="3" fillId="0" borderId="9" xfId="2" applyNumberFormat="1" applyFont="1" applyBorder="1"/>
    <xf numFmtId="0" fontId="0" fillId="0" borderId="6" xfId="0" applyBorder="1"/>
    <xf numFmtId="10" fontId="1" fillId="3" borderId="0" xfId="3" applyNumberFormat="1" applyFont="1" applyFill="1" applyBorder="1"/>
    <xf numFmtId="10" fontId="1" fillId="0" borderId="6" xfId="3" applyNumberFormat="1" applyFont="1" applyFill="1" applyBorder="1"/>
    <xf numFmtId="10" fontId="1" fillId="0" borderId="7" xfId="3" applyNumberFormat="1" applyFont="1" applyFill="1" applyBorder="1"/>
    <xf numFmtId="9" fontId="1" fillId="0" borderId="6" xfId="3" applyFont="1" applyBorder="1"/>
    <xf numFmtId="0" fontId="0" fillId="0" borderId="7" xfId="0" applyBorder="1"/>
    <xf numFmtId="0" fontId="3" fillId="0" borderId="10" xfId="0" applyFont="1" applyBorder="1"/>
    <xf numFmtId="0" fontId="0" fillId="3" borderId="12" xfId="0" applyFill="1" applyBorder="1"/>
    <xf numFmtId="0" fontId="0" fillId="0" borderId="6" xfId="0" applyFont="1" applyFill="1" applyBorder="1"/>
    <xf numFmtId="168" fontId="1" fillId="0" borderId="6" xfId="3" applyNumberFormat="1" applyFont="1" applyBorder="1"/>
    <xf numFmtId="168" fontId="1" fillId="0" borderId="7" xfId="3" applyNumberFormat="1" applyFont="1" applyBorder="1"/>
    <xf numFmtId="0" fontId="0" fillId="0" borderId="6" xfId="0" applyFill="1" applyBorder="1"/>
    <xf numFmtId="0" fontId="3" fillId="0" borderId="6" xfId="0" applyFont="1" applyFill="1" applyBorder="1"/>
    <xf numFmtId="0" fontId="3" fillId="6" borderId="6" xfId="0" applyFont="1" applyFill="1" applyBorder="1"/>
    <xf numFmtId="9" fontId="1" fillId="0" borderId="7" xfId="3" applyFont="1" applyBorder="1"/>
    <xf numFmtId="0" fontId="5" fillId="0" borderId="6" xfId="0" applyFont="1" applyFill="1" applyBorder="1"/>
    <xf numFmtId="0" fontId="0" fillId="5" borderId="0" xfId="0" applyFill="1" applyBorder="1"/>
    <xf numFmtId="0" fontId="0" fillId="0" borderId="0" xfId="0" applyBorder="1"/>
    <xf numFmtId="0" fontId="3" fillId="6" borderId="10" xfId="0" applyFont="1" applyFill="1" applyBorder="1"/>
    <xf numFmtId="0" fontId="4" fillId="4" borderId="2" xfId="0" applyFont="1" applyFill="1" applyBorder="1"/>
    <xf numFmtId="164" fontId="0" fillId="0" borderId="0" xfId="0" applyNumberFormat="1" applyBorder="1"/>
    <xf numFmtId="164" fontId="0" fillId="0" borderId="0" xfId="0" applyNumberFormat="1"/>
    <xf numFmtId="0" fontId="3" fillId="0" borderId="10" xfId="0" applyFont="1" applyFill="1" applyBorder="1"/>
    <xf numFmtId="0" fontId="3" fillId="0" borderId="5" xfId="0" applyFont="1" applyBorder="1" applyAlignment="1">
      <alignment horizontal="center"/>
    </xf>
    <xf numFmtId="10" fontId="1" fillId="0" borderId="8" xfId="3" applyNumberFormat="1" applyFont="1" applyFill="1" applyBorder="1"/>
    <xf numFmtId="0" fontId="3" fillId="0" borderId="6" xfId="0" applyFont="1" applyBorder="1" applyAlignment="1">
      <alignment wrapText="1"/>
    </xf>
    <xf numFmtId="168" fontId="1" fillId="5" borderId="8" xfId="3" applyNumberFormat="1" applyFont="1" applyFill="1" applyBorder="1" applyAlignment="1">
      <alignment vertical="center"/>
    </xf>
    <xf numFmtId="10" fontId="1" fillId="0" borderId="13" xfId="3" applyNumberFormat="1" applyFont="1" applyFill="1" applyBorder="1"/>
    <xf numFmtId="0" fontId="3" fillId="0" borderId="0" xfId="0" applyFont="1" applyBorder="1"/>
    <xf numFmtId="0" fontId="3" fillId="0" borderId="2" xfId="0" applyFont="1" applyFill="1" applyBorder="1"/>
    <xf numFmtId="165" fontId="1" fillId="0" borderId="5" xfId="1" applyFont="1" applyFill="1" applyBorder="1"/>
    <xf numFmtId="165" fontId="1" fillId="11" borderId="8" xfId="1" applyFont="1" applyFill="1" applyBorder="1"/>
    <xf numFmtId="169" fontId="1" fillId="0" borderId="5" xfId="1" applyNumberFormat="1" applyFont="1" applyFill="1" applyBorder="1"/>
    <xf numFmtId="169" fontId="1" fillId="0" borderId="8" xfId="1" applyNumberFormat="1" applyFont="1" applyFill="1" applyBorder="1"/>
    <xf numFmtId="165" fontId="1" fillId="0" borderId="8" xfId="1" applyNumberFormat="1" applyFont="1" applyFill="1" applyBorder="1"/>
    <xf numFmtId="165" fontId="0" fillId="0" borderId="8" xfId="0" applyNumberFormat="1" applyFill="1" applyBorder="1"/>
    <xf numFmtId="0" fontId="3" fillId="0" borderId="15" xfId="0" applyFont="1" applyFill="1" applyBorder="1"/>
    <xf numFmtId="164" fontId="2" fillId="0" borderId="9" xfId="4" applyNumberFormat="1" applyFill="1" applyBorder="1"/>
    <xf numFmtId="164" fontId="3" fillId="0" borderId="9" xfId="0" applyNumberFormat="1" applyFont="1" applyBorder="1"/>
    <xf numFmtId="164" fontId="6" fillId="0" borderId="11" xfId="2" applyNumberFormat="1" applyFont="1" applyBorder="1"/>
    <xf numFmtId="164" fontId="7" fillId="0" borderId="9" xfId="4" applyNumberFormat="1" applyFont="1" applyFill="1" applyBorder="1"/>
    <xf numFmtId="168" fontId="3" fillId="0" borderId="6" xfId="3" applyNumberFormat="1" applyFont="1" applyBorder="1"/>
    <xf numFmtId="168" fontId="3" fillId="0" borderId="7" xfId="3" applyNumberFormat="1" applyFont="1" applyBorder="1"/>
    <xf numFmtId="168" fontId="3" fillId="0" borderId="10" xfId="3" applyNumberFormat="1" applyFont="1" applyBorder="1"/>
    <xf numFmtId="168" fontId="3" fillId="0" borderId="14" xfId="3" applyNumberFormat="1" applyFont="1" applyBorder="1"/>
    <xf numFmtId="0" fontId="11" fillId="0" borderId="0" xfId="0" applyFont="1"/>
    <xf numFmtId="0" fontId="4" fillId="0" borderId="6" xfId="0" applyFont="1" applyFill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4" xfId="0" applyNumberFormat="1" applyFont="1" applyBorder="1" applyAlignment="1">
      <alignment horizontal="center"/>
    </xf>
    <xf numFmtId="171" fontId="13" fillId="0" borderId="0" xfId="0" applyNumberFormat="1" applyFont="1" applyAlignment="1">
      <alignment horizontal="center"/>
    </xf>
    <xf numFmtId="0" fontId="13" fillId="0" borderId="0" xfId="0" applyFont="1"/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0" fillId="0" borderId="5" xfId="0" applyBorder="1"/>
    <xf numFmtId="0" fontId="0" fillId="7" borderId="8" xfId="0" applyFill="1" applyBorder="1"/>
    <xf numFmtId="0" fontId="0" fillId="8" borderId="8" xfId="0" applyFill="1" applyBorder="1"/>
    <xf numFmtId="0" fontId="0" fillId="13" borderId="8" xfId="0" applyFill="1" applyBorder="1"/>
    <xf numFmtId="0" fontId="0" fillId="0" borderId="8" xfId="0" applyBorder="1"/>
    <xf numFmtId="0" fontId="0" fillId="0" borderId="13" xfId="0" applyBorder="1"/>
    <xf numFmtId="164" fontId="2" fillId="0" borderId="22" xfId="4" applyNumberFormat="1" applyFill="1" applyBorder="1"/>
    <xf numFmtId="164" fontId="3" fillId="0" borderId="22" xfId="2" applyNumberFormat="1" applyFont="1" applyFill="1" applyBorder="1"/>
    <xf numFmtId="164" fontId="2" fillId="0" borderId="23" xfId="4" applyNumberFormat="1" applyFill="1" applyBorder="1"/>
    <xf numFmtId="164" fontId="3" fillId="0" borderId="23" xfId="2" applyNumberFormat="1" applyFont="1" applyFill="1" applyBorder="1"/>
    <xf numFmtId="164" fontId="1" fillId="0" borderId="22" xfId="2" applyNumberFormat="1" applyFont="1" applyBorder="1"/>
    <xf numFmtId="164" fontId="3" fillId="0" borderId="24" xfId="2" applyNumberFormat="1" applyFont="1" applyFill="1" applyBorder="1"/>
    <xf numFmtId="164" fontId="3" fillId="0" borderId="22" xfId="2" applyNumberFormat="1" applyFont="1" applyBorder="1"/>
    <xf numFmtId="164" fontId="1" fillId="0" borderId="9" xfId="2" applyNumberFormat="1" applyFont="1" applyBorder="1"/>
    <xf numFmtId="38" fontId="2" fillId="0" borderId="22" xfId="4" applyNumberFormat="1" applyFill="1" applyBorder="1"/>
    <xf numFmtId="38" fontId="2" fillId="0" borderId="9" xfId="4" applyNumberFormat="1" applyFill="1" applyBorder="1"/>
    <xf numFmtId="164" fontId="3" fillId="6" borderId="22" xfId="2" applyNumberFormat="1" applyFont="1" applyFill="1" applyBorder="1"/>
    <xf numFmtId="164" fontId="3" fillId="6" borderId="9" xfId="2" applyNumberFormat="1" applyFont="1" applyFill="1" applyBorder="1"/>
    <xf numFmtId="164" fontId="1" fillId="0" borderId="6" xfId="2" applyNumberFormat="1" applyFont="1" applyBorder="1"/>
    <xf numFmtId="164" fontId="1" fillId="0" borderId="7" xfId="2" applyNumberFormat="1" applyFont="1" applyBorder="1"/>
    <xf numFmtId="164" fontId="5" fillId="0" borderId="22" xfId="4" applyNumberFormat="1" applyFont="1" applyFill="1" applyBorder="1"/>
    <xf numFmtId="164" fontId="5" fillId="0" borderId="9" xfId="4" applyNumberFormat="1" applyFont="1" applyFill="1" applyBorder="1"/>
    <xf numFmtId="164" fontId="3" fillId="6" borderId="10" xfId="0" applyNumberFormat="1" applyFont="1" applyFill="1" applyBorder="1"/>
    <xf numFmtId="164" fontId="3" fillId="6" borderId="14" xfId="0" applyNumberFormat="1" applyFont="1" applyFill="1" applyBorder="1"/>
    <xf numFmtId="10" fontId="1" fillId="0" borderId="20" xfId="3" applyNumberFormat="1" applyFont="1" applyFill="1" applyBorder="1" applyAlignment="1">
      <alignment horizontal="right" vertical="center"/>
    </xf>
    <xf numFmtId="164" fontId="0" fillId="0" borderId="8" xfId="0" applyNumberFormat="1" applyBorder="1"/>
    <xf numFmtId="164" fontId="0" fillId="0" borderId="13" xfId="0" applyNumberFormat="1" applyBorder="1"/>
    <xf numFmtId="169" fontId="1" fillId="0" borderId="19" xfId="1" applyNumberFormat="1" applyFont="1" applyFill="1" applyBorder="1"/>
    <xf numFmtId="0" fontId="0" fillId="0" borderId="0" xfId="0" applyFill="1"/>
    <xf numFmtId="0" fontId="0" fillId="0" borderId="0" xfId="0" applyFill="1" applyBorder="1"/>
    <xf numFmtId="0" fontId="0" fillId="9" borderId="20" xfId="0" applyFill="1" applyBorder="1" applyAlignment="1">
      <alignment vertical="center"/>
    </xf>
    <xf numFmtId="0" fontId="0" fillId="0" borderId="20" xfId="0" applyBorder="1"/>
    <xf numFmtId="0" fontId="14" fillId="0" borderId="6" xfId="0" applyFont="1" applyFill="1" applyBorder="1"/>
    <xf numFmtId="166" fontId="0" fillId="5" borderId="0" xfId="2" applyFont="1" applyFill="1" applyAlignment="1">
      <alignment horizontal="center"/>
    </xf>
    <xf numFmtId="166" fontId="0" fillId="0" borderId="0" xfId="2" applyFont="1" applyAlignment="1">
      <alignment horizontal="center"/>
    </xf>
    <xf numFmtId="166" fontId="0" fillId="0" borderId="7" xfId="2" applyFon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6" fontId="0" fillId="5" borderId="7" xfId="2" applyFont="1" applyFill="1" applyBorder="1" applyAlignment="1">
      <alignment horizontal="center"/>
    </xf>
    <xf numFmtId="38" fontId="15" fillId="14" borderId="25" xfId="0" applyNumberFormat="1" applyFont="1" applyFill="1" applyBorder="1"/>
    <xf numFmtId="38" fontId="0" fillId="14" borderId="26" xfId="0" applyNumberFormat="1" applyFill="1" applyBorder="1"/>
    <xf numFmtId="8" fontId="3" fillId="0" borderId="8" xfId="2" applyNumberFormat="1" applyFont="1" applyBorder="1"/>
    <xf numFmtId="8" fontId="4" fillId="0" borderId="8" xfId="2" applyNumberFormat="1" applyFont="1" applyBorder="1"/>
    <xf numFmtId="8" fontId="0" fillId="0" borderId="8" xfId="2" applyNumberFormat="1" applyFont="1" applyBorder="1"/>
    <xf numFmtId="8" fontId="0" fillId="0" borderId="2" xfId="2" applyNumberFormat="1" applyFont="1" applyBorder="1"/>
    <xf numFmtId="8" fontId="10" fillId="0" borderId="8" xfId="2" applyNumberFormat="1" applyFont="1" applyBorder="1"/>
    <xf numFmtId="8" fontId="9" fillId="0" borderId="8" xfId="2" applyNumberFormat="1" applyFont="1" applyBorder="1"/>
    <xf numFmtId="8" fontId="3" fillId="0" borderId="8" xfId="2" applyNumberFormat="1" applyFont="1" applyFill="1" applyBorder="1"/>
    <xf numFmtId="8" fontId="0" fillId="7" borderId="8" xfId="2" applyNumberFormat="1" applyFont="1" applyFill="1" applyBorder="1"/>
    <xf numFmtId="8" fontId="9" fillId="13" borderId="8" xfId="2" applyNumberFormat="1" applyFont="1" applyFill="1" applyBorder="1"/>
    <xf numFmtId="8" fontId="3" fillId="0" borderId="13" xfId="2" applyNumberFormat="1" applyFont="1" applyBorder="1"/>
    <xf numFmtId="6" fontId="8" fillId="0" borderId="22" xfId="4" applyNumberFormat="1" applyFont="1" applyFill="1" applyBorder="1"/>
    <xf numFmtId="6" fontId="8" fillId="0" borderId="18" xfId="4" applyNumberFormat="1" applyFont="1" applyFill="1" applyBorder="1"/>
    <xf numFmtId="44" fontId="0" fillId="0" borderId="0" xfId="0" applyNumberFormat="1"/>
    <xf numFmtId="164" fontId="16" fillId="0" borderId="0" xfId="0" applyNumberFormat="1" applyFont="1"/>
    <xf numFmtId="165" fontId="1" fillId="0" borderId="13" xfId="1" applyFont="1" applyFill="1" applyBorder="1"/>
    <xf numFmtId="8" fontId="9" fillId="8" borderId="8" xfId="2" applyNumberFormat="1" applyFont="1" applyFill="1" applyBorder="1"/>
    <xf numFmtId="44" fontId="0" fillId="8" borderId="13" xfId="2" applyNumberFormat="1" applyFont="1" applyFill="1" applyBorder="1"/>
    <xf numFmtId="38" fontId="3" fillId="0" borderId="7" xfId="0" applyNumberFormat="1" applyFont="1" applyBorder="1"/>
    <xf numFmtId="38" fontId="3" fillId="0" borderId="14" xfId="0" applyNumberFormat="1" applyFont="1" applyBorder="1"/>
    <xf numFmtId="8" fontId="0" fillId="0" borderId="6" xfId="2" applyNumberFormat="1" applyFont="1" applyBorder="1"/>
    <xf numFmtId="8" fontId="15" fillId="8" borderId="5" xfId="2" applyNumberFormat="1" applyFont="1" applyFill="1" applyBorder="1"/>
    <xf numFmtId="10" fontId="1" fillId="0" borderId="5" xfId="3" applyNumberFormat="1" applyFont="1" applyFill="1" applyBorder="1"/>
    <xf numFmtId="164" fontId="0" fillId="0" borderId="5" xfId="0" applyNumberFormat="1" applyFill="1" applyBorder="1"/>
    <xf numFmtId="44" fontId="0" fillId="8" borderId="0" xfId="0" applyNumberFormat="1" applyFill="1"/>
    <xf numFmtId="0" fontId="3" fillId="0" borderId="5" xfId="0" applyFont="1" applyBorder="1"/>
    <xf numFmtId="171" fontId="0" fillId="5" borderId="3" xfId="0" applyNumberFormat="1" applyFill="1" applyBorder="1" applyAlignment="1">
      <alignment horizontal="center"/>
    </xf>
    <xf numFmtId="166" fontId="0" fillId="0" borderId="0" xfId="2" applyFont="1" applyBorder="1" applyAlignment="1">
      <alignment horizontal="center"/>
    </xf>
    <xf numFmtId="171" fontId="0" fillId="5" borderId="27" xfId="0" applyNumberFormat="1" applyFill="1" applyBorder="1" applyAlignment="1">
      <alignment horizontal="center"/>
    </xf>
    <xf numFmtId="166" fontId="0" fillId="0" borderId="0" xfId="2" applyFont="1" applyFill="1" applyAlignment="1">
      <alignment horizontal="center"/>
    </xf>
    <xf numFmtId="171" fontId="0" fillId="5" borderId="7" xfId="0" applyNumberFormat="1" applyFill="1" applyBorder="1" applyAlignment="1">
      <alignment horizontal="center"/>
    </xf>
    <xf numFmtId="164" fontId="0" fillId="5" borderId="3" xfId="2" applyNumberFormat="1" applyFont="1" applyFill="1" applyBorder="1" applyAlignment="1">
      <alignment horizontal="center"/>
    </xf>
    <xf numFmtId="166" fontId="0" fillId="0" borderId="7" xfId="2" applyFont="1" applyFill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3" fillId="0" borderId="6" xfId="0" quotePrefix="1" applyFont="1" applyBorder="1"/>
    <xf numFmtId="0" fontId="0" fillId="0" borderId="10" xfId="0" applyBorder="1"/>
    <xf numFmtId="0" fontId="0" fillId="0" borderId="14" xfId="0" applyBorder="1"/>
    <xf numFmtId="8" fontId="16" fillId="0" borderId="8" xfId="2" applyNumberFormat="1" applyFont="1" applyBorder="1"/>
    <xf numFmtId="8" fontId="0" fillId="0" borderId="13" xfId="2" applyNumberFormat="1" applyFont="1" applyBorder="1"/>
    <xf numFmtId="8" fontId="0" fillId="0" borderId="5" xfId="2" applyNumberFormat="1" applyFont="1" applyBorder="1"/>
    <xf numFmtId="164" fontId="16" fillId="0" borderId="8" xfId="2" applyNumberFormat="1" applyFont="1" applyBorder="1"/>
    <xf numFmtId="164" fontId="0" fillId="0" borderId="8" xfId="2" applyNumberFormat="1" applyFont="1" applyBorder="1"/>
    <xf numFmtId="8" fontId="3" fillId="13" borderId="8" xfId="2" applyNumberFormat="1" applyFont="1" applyFill="1" applyBorder="1"/>
    <xf numFmtId="8" fontId="3" fillId="8" borderId="8" xfId="2" applyNumberFormat="1" applyFont="1" applyFill="1" applyBorder="1"/>
    <xf numFmtId="8" fontId="6" fillId="12" borderId="8" xfId="2" applyNumberFormat="1" applyFont="1" applyFill="1" applyBorder="1"/>
    <xf numFmtId="8" fontId="0" fillId="0" borderId="8" xfId="0" applyNumberFormat="1" applyBorder="1"/>
    <xf numFmtId="8" fontId="9" fillId="0" borderId="8" xfId="0" applyNumberFormat="1" applyFont="1" applyBorder="1"/>
    <xf numFmtId="8" fontId="3" fillId="0" borderId="8" xfId="0" applyNumberFormat="1" applyFont="1" applyBorder="1"/>
    <xf numFmtId="164" fontId="16" fillId="0" borderId="8" xfId="0" applyNumberFormat="1" applyFont="1" applyBorder="1"/>
    <xf numFmtId="8" fontId="18" fillId="0" borderId="8" xfId="0" applyNumberFormat="1" applyFont="1" applyBorder="1"/>
    <xf numFmtId="0" fontId="3" fillId="0" borderId="0" xfId="0" applyFont="1" applyFill="1" applyBorder="1"/>
    <xf numFmtId="0" fontId="0" fillId="0" borderId="0" xfId="0" applyFont="1" applyFill="1" applyBorder="1"/>
    <xf numFmtId="164" fontId="0" fillId="0" borderId="0" xfId="2" applyNumberFormat="1" applyFont="1"/>
    <xf numFmtId="164" fontId="19" fillId="0" borderId="0" xfId="2" applyNumberFormat="1" applyFont="1"/>
    <xf numFmtId="0" fontId="3" fillId="0" borderId="0" xfId="0" applyFont="1"/>
    <xf numFmtId="6" fontId="0" fillId="0" borderId="0" xfId="0" applyNumberFormat="1"/>
    <xf numFmtId="6" fontId="9" fillId="0" borderId="0" xfId="0" applyNumberFormat="1" applyFont="1"/>
    <xf numFmtId="164" fontId="19" fillId="0" borderId="0" xfId="0" applyNumberFormat="1" applyFont="1"/>
    <xf numFmtId="6" fontId="9" fillId="0" borderId="0" xfId="0" applyNumberFormat="1" applyFont="1" applyBorder="1"/>
    <xf numFmtId="8" fontId="3" fillId="0" borderId="20" xfId="0" applyNumberFormat="1" applyFont="1" applyBorder="1"/>
    <xf numFmtId="0" fontId="3" fillId="0" borderId="15" xfId="0" applyFont="1" applyBorder="1"/>
    <xf numFmtId="10" fontId="0" fillId="0" borderId="7" xfId="3" applyNumberFormat="1" applyFont="1" applyBorder="1"/>
    <xf numFmtId="10" fontId="3" fillId="0" borderId="14" xfId="0" applyNumberFormat="1" applyFont="1" applyBorder="1"/>
    <xf numFmtId="0" fontId="12" fillId="0" borderId="16" xfId="0" applyFont="1" applyBorder="1" applyAlignment="1">
      <alignment horizontal="center"/>
    </xf>
    <xf numFmtId="171" fontId="13" fillId="0" borderId="7" xfId="0" applyNumberFormat="1" applyFont="1" applyBorder="1" applyAlignment="1">
      <alignment horizontal="center"/>
    </xf>
    <xf numFmtId="165" fontId="13" fillId="0" borderId="7" xfId="1" applyFont="1" applyBorder="1" applyAlignment="1">
      <alignment horizontal="center"/>
    </xf>
    <xf numFmtId="165" fontId="0" fillId="0" borderId="0" xfId="1" applyFont="1" applyAlignment="1">
      <alignment horizontal="center"/>
    </xf>
    <xf numFmtId="167" fontId="13" fillId="0" borderId="7" xfId="1" applyNumberFormat="1" applyFont="1" applyBorder="1" applyAlignment="1">
      <alignment horizontal="center"/>
    </xf>
    <xf numFmtId="167" fontId="0" fillId="0" borderId="7" xfId="1" applyNumberFormat="1" applyFont="1" applyFill="1" applyBorder="1" applyAlignment="1">
      <alignment horizontal="center"/>
    </xf>
    <xf numFmtId="172" fontId="13" fillId="0" borderId="7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167" fontId="13" fillId="0" borderId="0" xfId="1" applyNumberFormat="1" applyFont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66" fontId="0" fillId="0" borderId="0" xfId="2" applyFont="1" applyFill="1" applyBorder="1" applyAlignment="1">
      <alignment horizontal="center"/>
    </xf>
    <xf numFmtId="167" fontId="20" fillId="0" borderId="0" xfId="1" applyNumberFormat="1" applyFont="1" applyBorder="1" applyAlignment="1">
      <alignment horizontal="center"/>
    </xf>
    <xf numFmtId="172" fontId="21" fillId="0" borderId="7" xfId="0" applyNumberFormat="1" applyFont="1" applyBorder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12" fillId="0" borderId="19" xfId="0" applyFont="1" applyBorder="1" applyAlignment="1">
      <alignment horizontal="center"/>
    </xf>
    <xf numFmtId="170" fontId="13" fillId="0" borderId="6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165" fontId="13" fillId="0" borderId="6" xfId="1" applyFont="1" applyBorder="1" applyAlignment="1">
      <alignment horizontal="center"/>
    </xf>
    <xf numFmtId="165" fontId="0" fillId="0" borderId="6" xfId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5" fontId="0" fillId="0" borderId="10" xfId="1" applyFont="1" applyBorder="1" applyAlignment="1">
      <alignment horizontal="center"/>
    </xf>
    <xf numFmtId="165" fontId="0" fillId="0" borderId="12" xfId="1" applyFont="1" applyBorder="1" applyAlignment="1">
      <alignment horizontal="center"/>
    </xf>
    <xf numFmtId="167" fontId="0" fillId="0" borderId="14" xfId="1" applyNumberFormat="1" applyFont="1" applyFill="1" applyBorder="1" applyAlignment="1">
      <alignment horizontal="center"/>
    </xf>
    <xf numFmtId="167" fontId="0" fillId="0" borderId="12" xfId="1" applyNumberFormat="1" applyFont="1" applyFill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0" fillId="0" borderId="12" xfId="0" applyBorder="1"/>
    <xf numFmtId="170" fontId="0" fillId="0" borderId="12" xfId="0" applyNumberFormat="1" applyBorder="1" applyAlignment="1">
      <alignment horizontal="center"/>
    </xf>
    <xf numFmtId="166" fontId="0" fillId="0" borderId="14" xfId="2" applyFont="1" applyFill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67" fontId="0" fillId="0" borderId="12" xfId="1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164" fontId="0" fillId="0" borderId="3" xfId="2" applyNumberFormat="1" applyFont="1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2" applyNumberFormat="1" applyFont="1" applyFill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30" xfId="0" applyBorder="1"/>
    <xf numFmtId="0" fontId="3" fillId="0" borderId="30" xfId="0" applyFont="1" applyBorder="1" applyAlignment="1">
      <alignment horizontal="center"/>
    </xf>
    <xf numFmtId="164" fontId="0" fillId="0" borderId="30" xfId="2" applyNumberFormat="1" applyFont="1" applyBorder="1"/>
    <xf numFmtId="164" fontId="0" fillId="5" borderId="30" xfId="2" applyNumberFormat="1" applyFont="1" applyFill="1" applyBorder="1"/>
    <xf numFmtId="164" fontId="16" fillId="0" borderId="30" xfId="2" applyNumberFormat="1" applyFont="1" applyFill="1" applyBorder="1"/>
    <xf numFmtId="164" fontId="0" fillId="5" borderId="30" xfId="2" applyNumberFormat="1" applyFont="1" applyFill="1" applyBorder="1" applyAlignment="1">
      <alignment horizontal="center"/>
    </xf>
    <xf numFmtId="164" fontId="16" fillId="0" borderId="30" xfId="2" applyNumberFormat="1" applyFont="1" applyFill="1" applyBorder="1" applyAlignment="1">
      <alignment horizontal="center"/>
    </xf>
    <xf numFmtId="171" fontId="0" fillId="0" borderId="7" xfId="0" applyNumberFormat="1" applyFill="1" applyBorder="1" applyAlignment="1">
      <alignment horizontal="center"/>
    </xf>
    <xf numFmtId="171" fontId="0" fillId="0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13" fillId="0" borderId="0" xfId="1" applyFont="1" applyAlignment="1">
      <alignment horizontal="center"/>
    </xf>
    <xf numFmtId="165" fontId="0" fillId="0" borderId="0" xfId="1" applyFont="1"/>
    <xf numFmtId="165" fontId="0" fillId="0" borderId="3" xfId="1" applyFont="1" applyBorder="1" applyAlignment="1">
      <alignment horizontal="center"/>
    </xf>
    <xf numFmtId="165" fontId="0" fillId="5" borderId="0" xfId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13" fillId="0" borderId="0" xfId="2" applyNumberFormat="1" applyFont="1" applyAlignment="1">
      <alignment horizontal="center"/>
    </xf>
    <xf numFmtId="173" fontId="0" fillId="0" borderId="7" xfId="0" applyNumberFormat="1" applyFill="1" applyBorder="1" applyAlignment="1">
      <alignment horizontal="center"/>
    </xf>
    <xf numFmtId="173" fontId="0" fillId="0" borderId="3" xfId="0" applyNumberForma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5" borderId="30" xfId="0" applyFill="1" applyBorder="1"/>
    <xf numFmtId="165" fontId="0" fillId="0" borderId="30" xfId="1" applyFont="1" applyBorder="1"/>
    <xf numFmtId="171" fontId="13" fillId="0" borderId="3" xfId="0" applyNumberFormat="1" applyFont="1" applyBorder="1" applyAlignment="1">
      <alignment horizontal="center"/>
    </xf>
    <xf numFmtId="165" fontId="13" fillId="0" borderId="0" xfId="1" applyFont="1" applyBorder="1" applyAlignment="1">
      <alignment horizontal="center"/>
    </xf>
    <xf numFmtId="174" fontId="13" fillId="0" borderId="3" xfId="0" applyNumberFormat="1" applyFont="1" applyBorder="1" applyAlignment="1">
      <alignment horizontal="center"/>
    </xf>
    <xf numFmtId="174" fontId="13" fillId="0" borderId="7" xfId="2" applyNumberFormat="1" applyFont="1" applyBorder="1" applyAlignment="1">
      <alignment horizontal="center"/>
    </xf>
    <xf numFmtId="174" fontId="13" fillId="0" borderId="7" xfId="0" applyNumberFormat="1" applyFont="1" applyBorder="1" applyAlignment="1">
      <alignment horizontal="center"/>
    </xf>
    <xf numFmtId="174" fontId="13" fillId="0" borderId="0" xfId="1" applyNumberFormat="1" applyFont="1" applyAlignment="1">
      <alignment horizontal="center"/>
    </xf>
    <xf numFmtId="174" fontId="0" fillId="0" borderId="7" xfId="0" applyNumberFormat="1" applyFill="1" applyBorder="1" applyAlignment="1">
      <alignment horizontal="center"/>
    </xf>
    <xf numFmtId="174" fontId="13" fillId="0" borderId="4" xfId="0" applyNumberFormat="1" applyFont="1" applyBorder="1" applyAlignment="1">
      <alignment horizontal="center"/>
    </xf>
    <xf numFmtId="174" fontId="0" fillId="0" borderId="0" xfId="1" applyNumberFormat="1" applyFont="1" applyFill="1" applyAlignment="1">
      <alignment horizontal="center"/>
    </xf>
    <xf numFmtId="174" fontId="0" fillId="0" borderId="3" xfId="2" applyNumberFormat="1" applyFont="1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166" fontId="0" fillId="0" borderId="3" xfId="2" applyFont="1" applyFill="1" applyBorder="1" applyAlignment="1">
      <alignment horizontal="center"/>
    </xf>
    <xf numFmtId="164" fontId="13" fillId="0" borderId="4" xfId="2" applyNumberFormat="1" applyFont="1" applyBorder="1" applyAlignment="1">
      <alignment horizontal="center"/>
    </xf>
    <xf numFmtId="164" fontId="13" fillId="0" borderId="3" xfId="2" applyNumberFormat="1" applyFont="1" applyBorder="1" applyAlignment="1">
      <alignment horizontal="center"/>
    </xf>
    <xf numFmtId="164" fontId="13" fillId="0" borderId="7" xfId="2" applyNumberFormat="1" applyFont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165" fontId="3" fillId="10" borderId="3" xfId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167" fontId="3" fillId="8" borderId="5" xfId="1" applyNumberFormat="1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 shrinkToFit="1"/>
    </xf>
    <xf numFmtId="0" fontId="0" fillId="12" borderId="8" xfId="0" applyFill="1" applyBorder="1" applyAlignment="1">
      <alignment horizontal="center" vertical="center" wrapText="1" shrinkToFit="1"/>
    </xf>
    <xf numFmtId="0" fontId="0" fillId="12" borderId="13" xfId="0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vertical="top" wrapText="1"/>
    </xf>
    <xf numFmtId="170" fontId="0" fillId="0" borderId="15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5">
    <cellStyle name="Comma" xfId="1" builtinId="3"/>
    <cellStyle name="Currency" xfId="2" builtinId="4"/>
    <cellStyle name="Input" xfId="4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8659</xdr:colOff>
      <xdr:row>0</xdr:row>
      <xdr:rowOff>0</xdr:rowOff>
    </xdr:from>
    <xdr:to>
      <xdr:col>12</xdr:col>
      <xdr:colOff>600075</xdr:colOff>
      <xdr:row>17</xdr:row>
      <xdr:rowOff>63211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5234" y="0"/>
          <a:ext cx="3734666" cy="337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606136</xdr:colOff>
      <xdr:row>16</xdr:row>
      <xdr:rowOff>164524</xdr:rowOff>
    </xdr:from>
    <xdr:to>
      <xdr:col>15</xdr:col>
      <xdr:colOff>116897</xdr:colOff>
      <xdr:row>45</xdr:row>
      <xdr:rowOff>87459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111" y="3288724"/>
          <a:ext cx="5256934" cy="5510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277090</xdr:colOff>
      <xdr:row>19</xdr:row>
      <xdr:rowOff>69273</xdr:rowOff>
    </xdr:from>
    <xdr:to>
      <xdr:col>21</xdr:col>
      <xdr:colOff>510020</xdr:colOff>
      <xdr:row>50</xdr:row>
      <xdr:rowOff>122960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4067" y="3758046"/>
          <a:ext cx="3964998" cy="6089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536864</xdr:colOff>
      <xdr:row>0</xdr:row>
      <xdr:rowOff>0</xdr:rowOff>
    </xdr:from>
    <xdr:to>
      <xdr:col>37</xdr:col>
      <xdr:colOff>241589</xdr:colOff>
      <xdr:row>27</xdr:row>
      <xdr:rowOff>142875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5489" y="0"/>
          <a:ext cx="13211175" cy="536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355022</xdr:colOff>
      <xdr:row>117</xdr:row>
      <xdr:rowOff>112569</xdr:rowOff>
    </xdr:from>
    <xdr:to>
      <xdr:col>9</xdr:col>
      <xdr:colOff>422563</xdr:colOff>
      <xdr:row>128</xdr:row>
      <xdr:rowOff>58017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045" y="22911955"/>
          <a:ext cx="4639541" cy="2075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259772</xdr:colOff>
      <xdr:row>129</xdr:row>
      <xdr:rowOff>0</xdr:rowOff>
    </xdr:from>
    <xdr:to>
      <xdr:col>9</xdr:col>
      <xdr:colOff>534265</xdr:colOff>
      <xdr:row>135</xdr:row>
      <xdr:rowOff>20782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795" y="25146000"/>
          <a:ext cx="4846493" cy="1189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8659</xdr:colOff>
      <xdr:row>0</xdr:row>
      <xdr:rowOff>0</xdr:rowOff>
    </xdr:from>
    <xdr:to>
      <xdr:col>12</xdr:col>
      <xdr:colOff>600075</xdr:colOff>
      <xdr:row>17</xdr:row>
      <xdr:rowOff>63211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091" y="0"/>
          <a:ext cx="3717348" cy="3370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329045</xdr:colOff>
      <xdr:row>2</xdr:row>
      <xdr:rowOff>112570</xdr:rowOff>
    </xdr:from>
    <xdr:to>
      <xdr:col>21</xdr:col>
      <xdr:colOff>4328</xdr:colOff>
      <xdr:row>31</xdr:row>
      <xdr:rowOff>35504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5272" y="502229"/>
          <a:ext cx="5225761" cy="5508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329044</xdr:colOff>
      <xdr:row>52</xdr:row>
      <xdr:rowOff>8659</xdr:rowOff>
    </xdr:from>
    <xdr:to>
      <xdr:col>12</xdr:col>
      <xdr:colOff>561974</xdr:colOff>
      <xdr:row>83</xdr:row>
      <xdr:rowOff>105641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3203" y="10087841"/>
          <a:ext cx="3964998" cy="6089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536864</xdr:colOff>
      <xdr:row>0</xdr:row>
      <xdr:rowOff>0</xdr:rowOff>
    </xdr:from>
    <xdr:to>
      <xdr:col>37</xdr:col>
      <xdr:colOff>241589</xdr:colOff>
      <xdr:row>27</xdr:row>
      <xdr:rowOff>142875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3841" y="0"/>
          <a:ext cx="13134975" cy="5355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8</xdr:col>
      <xdr:colOff>114300</xdr:colOff>
      <xdr:row>47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5772150" cy="393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17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1987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tabSelected="1" zoomScale="110" zoomScaleNormal="110" zoomScalePageLayoutView="64" workbookViewId="0"/>
  </sheetViews>
  <sheetFormatPr defaultRowHeight="15" x14ac:dyDescent="0.25"/>
  <cols>
    <col min="1" max="1" width="33.7109375" bestFit="1" customWidth="1"/>
    <col min="2" max="2" width="11.5703125" bestFit="1" customWidth="1"/>
    <col min="3" max="3" width="9.140625" bestFit="1" customWidth="1"/>
    <col min="4" max="4" width="10.140625" bestFit="1" customWidth="1"/>
    <col min="5" max="5" width="9.28515625" bestFit="1" customWidth="1"/>
    <col min="6" max="6" width="10.28515625" bestFit="1" customWidth="1"/>
    <col min="7" max="7" width="11.5703125" bestFit="1" customWidth="1"/>
    <col min="11" max="11" width="10.5703125" bestFit="1" customWidth="1"/>
    <col min="18" max="18" width="10.5703125" bestFit="1" customWidth="1"/>
  </cols>
  <sheetData>
    <row r="1" spans="1:6" ht="15.75" thickBot="1" x14ac:dyDescent="0.3">
      <c r="A1" s="1"/>
      <c r="B1" s="2"/>
      <c r="C1" s="3"/>
      <c r="D1" s="4"/>
      <c r="E1" s="263" t="s">
        <v>0</v>
      </c>
      <c r="F1" s="264"/>
    </row>
    <row r="2" spans="1:6" x14ac:dyDescent="0.25">
      <c r="A2" s="35" t="s">
        <v>1</v>
      </c>
      <c r="B2" s="265">
        <v>2009</v>
      </c>
      <c r="C2" s="266"/>
      <c r="D2" s="8"/>
      <c r="E2" s="9"/>
      <c r="F2" s="7">
        <v>2009</v>
      </c>
    </row>
    <row r="3" spans="1:6" x14ac:dyDescent="0.25">
      <c r="A3" s="10" t="s">
        <v>2</v>
      </c>
      <c r="B3" s="83"/>
      <c r="C3" s="53">
        <v>23598</v>
      </c>
      <c r="D3" s="8"/>
      <c r="E3" s="12"/>
      <c r="F3" s="13">
        <f>C3/C$3</f>
        <v>1</v>
      </c>
    </row>
    <row r="4" spans="1:6" x14ac:dyDescent="0.25">
      <c r="A4" s="14" t="s">
        <v>3</v>
      </c>
      <c r="B4" s="83"/>
      <c r="C4" s="53">
        <v>11456</v>
      </c>
      <c r="D4" s="8"/>
      <c r="E4" s="12"/>
      <c r="F4" s="13">
        <f>C4/C$3</f>
        <v>0.48546486990422916</v>
      </c>
    </row>
    <row r="5" spans="1:6" x14ac:dyDescent="0.25">
      <c r="A5" s="10" t="s">
        <v>4</v>
      </c>
      <c r="B5" s="84"/>
      <c r="C5" s="15">
        <f>C3-C4</f>
        <v>12142</v>
      </c>
      <c r="D5" s="8"/>
      <c r="E5" s="12"/>
      <c r="F5" s="13">
        <f>C5/C$3</f>
        <v>0.51453513009577079</v>
      </c>
    </row>
    <row r="6" spans="1:6" x14ac:dyDescent="0.25">
      <c r="A6" s="14" t="s">
        <v>82</v>
      </c>
      <c r="B6" s="83">
        <v>4123</v>
      </c>
      <c r="C6" s="21"/>
      <c r="D6" s="8"/>
      <c r="E6" s="12"/>
      <c r="F6" s="13">
        <f>B6/C$3</f>
        <v>0.17471819645732689</v>
      </c>
    </row>
    <row r="7" spans="1:6" x14ac:dyDescent="0.25">
      <c r="A7" s="16" t="s">
        <v>83</v>
      </c>
      <c r="B7" s="83">
        <v>1052</v>
      </c>
      <c r="C7" s="21"/>
      <c r="D7" s="8"/>
      <c r="E7" s="12"/>
      <c r="F7" s="13">
        <f t="shared" ref="F7:F11" si="0">B7/C$3</f>
        <v>4.4580049156708199E-2</v>
      </c>
    </row>
    <row r="8" spans="1:6" x14ac:dyDescent="0.25">
      <c r="A8" s="16" t="s">
        <v>84</v>
      </c>
      <c r="B8" s="83">
        <v>3577</v>
      </c>
      <c r="C8" s="21"/>
      <c r="D8" s="8"/>
      <c r="E8" s="12"/>
      <c r="F8" s="13">
        <f t="shared" si="0"/>
        <v>0.15158064242732436</v>
      </c>
    </row>
    <row r="9" spans="1:6" x14ac:dyDescent="0.25">
      <c r="A9" s="16" t="s">
        <v>86</v>
      </c>
      <c r="B9" s="85"/>
      <c r="C9" s="54">
        <f>B6+B7+B8</f>
        <v>8752</v>
      </c>
      <c r="D9" s="8"/>
      <c r="E9" s="12"/>
      <c r="F9" s="13">
        <f>C9/C$3</f>
        <v>0.37087888804135943</v>
      </c>
    </row>
    <row r="10" spans="1:6" x14ac:dyDescent="0.25">
      <c r="A10" s="10" t="s">
        <v>5</v>
      </c>
      <c r="B10" s="86"/>
      <c r="C10" s="15">
        <f>C5-B6-B7-B8</f>
        <v>3390</v>
      </c>
      <c r="D10" s="8"/>
      <c r="E10" s="12"/>
      <c r="F10" s="13">
        <f>C10/C$3</f>
        <v>0.14365624205441138</v>
      </c>
    </row>
    <row r="11" spans="1:6" x14ac:dyDescent="0.25">
      <c r="A11" s="14" t="s">
        <v>85</v>
      </c>
      <c r="B11" s="87">
        <v>205</v>
      </c>
      <c r="C11" s="21"/>
      <c r="D11" s="8"/>
      <c r="E11" s="12"/>
      <c r="F11" s="13">
        <f t="shared" si="0"/>
        <v>8.6871768793965586E-3</v>
      </c>
    </row>
    <row r="12" spans="1:6" x14ac:dyDescent="0.25">
      <c r="A12" s="14" t="s">
        <v>6</v>
      </c>
      <c r="B12" s="127">
        <v>-246</v>
      </c>
      <c r="C12" s="128">
        <f>B11+B12</f>
        <v>-41</v>
      </c>
      <c r="D12" s="8"/>
      <c r="E12" s="12"/>
      <c r="F12" s="13">
        <f>B12/C$3</f>
        <v>-1.0424612255275871E-2</v>
      </c>
    </row>
    <row r="13" spans="1:6" x14ac:dyDescent="0.25">
      <c r="A13" s="10" t="s">
        <v>7</v>
      </c>
      <c r="B13" s="86"/>
      <c r="C13" s="15">
        <f>C10+C12</f>
        <v>3349</v>
      </c>
      <c r="D13" s="8"/>
      <c r="E13" s="12"/>
      <c r="F13" s="13">
        <f>C13/C$3</f>
        <v>0.14191880667853207</v>
      </c>
    </row>
    <row r="14" spans="1:6" ht="17.25" x14ac:dyDescent="0.4">
      <c r="A14" s="14" t="s">
        <v>8</v>
      </c>
      <c r="B14" s="85"/>
      <c r="C14" s="56">
        <v>1139</v>
      </c>
      <c r="D14" s="17">
        <f>C14/C13</f>
        <v>0.34010152284263961</v>
      </c>
      <c r="E14" s="12"/>
      <c r="F14" s="13">
        <f>C14/C$3</f>
        <v>4.8266802271378931E-2</v>
      </c>
    </row>
    <row r="15" spans="1:6" ht="18" thickBot="1" x14ac:dyDescent="0.45">
      <c r="A15" s="22" t="s">
        <v>9</v>
      </c>
      <c r="B15" s="88"/>
      <c r="C15" s="55">
        <f>C13-C14</f>
        <v>2210</v>
      </c>
      <c r="D15" s="8"/>
      <c r="E15" s="18"/>
      <c r="F15" s="19">
        <f>C15/C$3</f>
        <v>9.3652004407153155E-2</v>
      </c>
    </row>
    <row r="16" spans="1:6" x14ac:dyDescent="0.25">
      <c r="A16" s="62" t="s">
        <v>10</v>
      </c>
      <c r="B16" s="63">
        <v>2009</v>
      </c>
      <c r="C16" s="64">
        <v>2008</v>
      </c>
      <c r="D16" s="8"/>
      <c r="E16" s="9">
        <v>2009</v>
      </c>
      <c r="F16" s="7">
        <v>2008</v>
      </c>
    </row>
    <row r="17" spans="1:6" x14ac:dyDescent="0.25">
      <c r="A17" s="24" t="s">
        <v>11</v>
      </c>
      <c r="B17" s="83">
        <v>1011</v>
      </c>
      <c r="C17" s="53">
        <v>1163</v>
      </c>
      <c r="D17" s="8"/>
      <c r="E17" s="25">
        <f>B17/$B$26</f>
        <v>6.4366206150124144E-2</v>
      </c>
      <c r="F17" s="26">
        <f>C17/$C$26</f>
        <v>7.5377535809190488E-2</v>
      </c>
    </row>
    <row r="18" spans="1:6" x14ac:dyDescent="0.25">
      <c r="A18" s="24" t="s">
        <v>12</v>
      </c>
      <c r="B18" s="83">
        <v>1012</v>
      </c>
      <c r="C18" s="53">
        <v>957</v>
      </c>
      <c r="D18" s="8"/>
      <c r="E18" s="25">
        <f>B18/$B$26</f>
        <v>6.4429872031578281E-2</v>
      </c>
      <c r="F18" s="26">
        <f>C18/$C$26</f>
        <v>6.2026054831810229E-2</v>
      </c>
    </row>
    <row r="19" spans="1:6" x14ac:dyDescent="0.25">
      <c r="A19" s="24" t="s">
        <v>13</v>
      </c>
      <c r="B19" s="83">
        <v>3984</v>
      </c>
      <c r="C19" s="53">
        <v>3277</v>
      </c>
      <c r="D19" s="8"/>
      <c r="E19" s="25">
        <f>B19/$B$26</f>
        <v>0.25364487171324884</v>
      </c>
      <c r="F19" s="26">
        <f>C19/$C$26</f>
        <v>0.2123922483634714</v>
      </c>
    </row>
    <row r="20" spans="1:6" x14ac:dyDescent="0.25">
      <c r="A20" s="27" t="s">
        <v>14</v>
      </c>
      <c r="B20" s="83">
        <v>155</v>
      </c>
      <c r="C20" s="53">
        <v>178</v>
      </c>
      <c r="D20" s="8"/>
      <c r="E20" s="25">
        <f>B20/$B$26</f>
        <v>9.8682116253899534E-3</v>
      </c>
      <c r="F20" s="26">
        <f>C20/$C$26</f>
        <v>1.1536716572687795E-2</v>
      </c>
    </row>
    <row r="21" spans="1:6" x14ac:dyDescent="0.25">
      <c r="A21" s="28" t="s">
        <v>15</v>
      </c>
      <c r="B21" s="89">
        <f>SUM(B17:B20)</f>
        <v>6162</v>
      </c>
      <c r="C21" s="15">
        <f>SUM(C17:C20)</f>
        <v>5575</v>
      </c>
      <c r="D21" s="8"/>
      <c r="E21" s="57">
        <f>B21/$B$26</f>
        <v>0.39230916152034123</v>
      </c>
      <c r="F21" s="58">
        <f>C21/$C$26</f>
        <v>0.36133255557715988</v>
      </c>
    </row>
    <row r="22" spans="1:6" x14ac:dyDescent="0.25">
      <c r="A22" s="24" t="s">
        <v>87</v>
      </c>
      <c r="B22" s="87">
        <v>510</v>
      </c>
      <c r="C22" s="90">
        <v>510</v>
      </c>
      <c r="D22" s="8"/>
      <c r="E22" s="25">
        <f t="shared" ref="E22:E23" si="1">B22/$B$26</f>
        <v>3.2469599541605651E-2</v>
      </c>
      <c r="F22" s="26">
        <f t="shared" ref="F22:F23" si="2">C22/$C$26</f>
        <v>3.3054637371184137E-2</v>
      </c>
    </row>
    <row r="23" spans="1:6" x14ac:dyDescent="0.25">
      <c r="A23" s="24" t="s">
        <v>88</v>
      </c>
      <c r="B23" s="87">
        <v>3680</v>
      </c>
      <c r="C23" s="90">
        <v>3680</v>
      </c>
      <c r="D23" s="8"/>
      <c r="E23" s="25">
        <f t="shared" si="1"/>
        <v>0.23429044375119373</v>
      </c>
      <c r="F23" s="26">
        <f t="shared" si="2"/>
        <v>0.23851189318815219</v>
      </c>
    </row>
    <row r="24" spans="1:6" x14ac:dyDescent="0.25">
      <c r="A24" s="24" t="s">
        <v>89</v>
      </c>
      <c r="B24" s="83">
        <v>8798</v>
      </c>
      <c r="C24" s="53">
        <v>8555</v>
      </c>
      <c r="D24" s="8"/>
      <c r="E24" s="25">
        <f>B24/$B$26</f>
        <v>0.56013242503342464</v>
      </c>
      <c r="F24" s="26">
        <f>C24/$C$26</f>
        <v>0.55447533864800047</v>
      </c>
    </row>
    <row r="25" spans="1:6" x14ac:dyDescent="0.25">
      <c r="A25" s="27" t="s">
        <v>16</v>
      </c>
      <c r="B25" s="91">
        <v>-3443</v>
      </c>
      <c r="C25" s="92">
        <v>-2891</v>
      </c>
      <c r="D25" s="8"/>
      <c r="E25" s="25">
        <f>B25/$B$26</f>
        <v>-0.21920162984656522</v>
      </c>
      <c r="F25" s="26">
        <f>C25/$C$26</f>
        <v>-0.18737442478449673</v>
      </c>
    </row>
    <row r="26" spans="1:6" x14ac:dyDescent="0.25">
      <c r="A26" s="29" t="s">
        <v>17</v>
      </c>
      <c r="B26" s="93">
        <f>B21+B22+B23+B24+B25</f>
        <v>15707</v>
      </c>
      <c r="C26" s="94">
        <f>C21+C22+C23+C24+C25</f>
        <v>15429</v>
      </c>
      <c r="D26" s="8"/>
      <c r="E26" s="57">
        <f>B26/$B$26</f>
        <v>1</v>
      </c>
      <c r="F26" s="58">
        <f>C26/$C$26</f>
        <v>1</v>
      </c>
    </row>
    <row r="27" spans="1:6" x14ac:dyDescent="0.25">
      <c r="A27" s="16"/>
      <c r="B27" s="95"/>
      <c r="C27" s="96"/>
      <c r="D27" s="8"/>
      <c r="E27" s="20"/>
      <c r="F27" s="30"/>
    </row>
    <row r="28" spans="1:6" x14ac:dyDescent="0.25">
      <c r="A28" s="24" t="s">
        <v>18</v>
      </c>
      <c r="B28" s="83">
        <v>3588</v>
      </c>
      <c r="C28" s="53">
        <v>3325</v>
      </c>
      <c r="D28" s="8"/>
      <c r="E28" s="25">
        <f t="shared" ref="E28:E41" si="3">B28/$B$42</f>
        <v>0.22843318265741389</v>
      </c>
      <c r="F28" s="26">
        <f t="shared" ref="F28:F41" si="4">C28/$C$42</f>
        <v>0.21550327305722988</v>
      </c>
    </row>
    <row r="29" spans="1:6" x14ac:dyDescent="0.25">
      <c r="A29" s="27" t="s">
        <v>91</v>
      </c>
      <c r="B29" s="83">
        <v>85</v>
      </c>
      <c r="C29" s="53">
        <v>75</v>
      </c>
      <c r="D29" s="8"/>
      <c r="E29" s="25">
        <f t="shared" si="3"/>
        <v>5.4115999236009418E-3</v>
      </c>
      <c r="F29" s="26">
        <f t="shared" si="4"/>
        <v>4.8609760839976668E-3</v>
      </c>
    </row>
    <row r="30" spans="1:6" x14ac:dyDescent="0.25">
      <c r="A30" s="27" t="s">
        <v>92</v>
      </c>
      <c r="B30" s="83">
        <v>62</v>
      </c>
      <c r="C30" s="53">
        <v>74</v>
      </c>
      <c r="D30" s="8"/>
      <c r="E30" s="25">
        <f t="shared" si="3"/>
        <v>3.9472846501559817E-3</v>
      </c>
      <c r="F30" s="26">
        <f t="shared" si="4"/>
        <v>4.7961630695443642E-3</v>
      </c>
    </row>
    <row r="31" spans="1:6" x14ac:dyDescent="0.25">
      <c r="A31" s="27" t="s">
        <v>93</v>
      </c>
      <c r="B31" s="83">
        <v>55</v>
      </c>
      <c r="C31" s="53">
        <v>50</v>
      </c>
      <c r="D31" s="8"/>
      <c r="E31" s="25">
        <f t="shared" si="3"/>
        <v>3.5016234799770804E-3</v>
      </c>
      <c r="F31" s="26">
        <f t="shared" si="4"/>
        <v>3.2406507226651112E-3</v>
      </c>
    </row>
    <row r="32" spans="1:6" x14ac:dyDescent="0.25">
      <c r="A32" s="27" t="s">
        <v>94</v>
      </c>
      <c r="B32" s="83">
        <v>1126</v>
      </c>
      <c r="C32" s="53">
        <v>1104</v>
      </c>
      <c r="D32" s="8"/>
      <c r="E32" s="25">
        <f t="shared" si="3"/>
        <v>7.1687782517348947E-2</v>
      </c>
      <c r="F32" s="26">
        <f t="shared" si="4"/>
        <v>7.1553567956445657E-2</v>
      </c>
    </row>
    <row r="33" spans="1:9" x14ac:dyDescent="0.25">
      <c r="A33" s="28" t="s">
        <v>19</v>
      </c>
      <c r="B33" s="89">
        <f>SUM(B28:B32)</f>
        <v>4916</v>
      </c>
      <c r="C33" s="15">
        <f>SUM(C28:C32)</f>
        <v>4628</v>
      </c>
      <c r="D33" s="8"/>
      <c r="E33" s="25">
        <f t="shared" si="3"/>
        <v>0.31298147322849684</v>
      </c>
      <c r="F33" s="26">
        <f t="shared" si="4"/>
        <v>0.29995463088988267</v>
      </c>
    </row>
    <row r="34" spans="1:9" x14ac:dyDescent="0.25">
      <c r="A34" s="24" t="s">
        <v>20</v>
      </c>
      <c r="B34" s="83">
        <v>3075</v>
      </c>
      <c r="C34" s="53">
        <v>3575</v>
      </c>
      <c r="D34" s="8"/>
      <c r="E34" s="25">
        <f t="shared" si="3"/>
        <v>0.19577258547144585</v>
      </c>
      <c r="F34" s="26">
        <f t="shared" si="4"/>
        <v>0.23170652667055544</v>
      </c>
    </row>
    <row r="35" spans="1:9" x14ac:dyDescent="0.25">
      <c r="A35" s="28" t="s">
        <v>21</v>
      </c>
      <c r="B35" s="89">
        <f>SUM(B33:B34)</f>
        <v>7991</v>
      </c>
      <c r="C35" s="15">
        <f>SUM(C33:C34)</f>
        <v>8203</v>
      </c>
      <c r="D35" s="8"/>
      <c r="E35" s="25">
        <f t="shared" si="3"/>
        <v>0.50875405869994272</v>
      </c>
      <c r="F35" s="26">
        <f t="shared" si="4"/>
        <v>0.53166115756043819</v>
      </c>
    </row>
    <row r="36" spans="1:9" x14ac:dyDescent="0.25">
      <c r="A36" s="24" t="s">
        <v>22</v>
      </c>
      <c r="B36" s="87">
        <v>0</v>
      </c>
      <c r="C36" s="90">
        <v>0</v>
      </c>
      <c r="D36" s="8"/>
      <c r="E36" s="25">
        <f t="shared" si="3"/>
        <v>0</v>
      </c>
      <c r="F36" s="26">
        <f t="shared" si="4"/>
        <v>0</v>
      </c>
    </row>
    <row r="37" spans="1:9" x14ac:dyDescent="0.25">
      <c r="A37" s="31" t="s">
        <v>23</v>
      </c>
      <c r="B37" s="97">
        <v>3750</v>
      </c>
      <c r="C37" s="98">
        <v>4350</v>
      </c>
      <c r="D37" s="32"/>
      <c r="E37" s="25">
        <f t="shared" si="3"/>
        <v>0.23874705545298275</v>
      </c>
      <c r="F37" s="26">
        <f t="shared" si="4"/>
        <v>0.28193661287186467</v>
      </c>
    </row>
    <row r="38" spans="1:9" x14ac:dyDescent="0.25">
      <c r="A38" s="31" t="s">
        <v>24</v>
      </c>
      <c r="B38" s="97">
        <v>0</v>
      </c>
      <c r="C38" s="98">
        <v>0</v>
      </c>
      <c r="D38" s="32"/>
      <c r="E38" s="25">
        <f t="shared" si="3"/>
        <v>0</v>
      </c>
      <c r="F38" s="26">
        <f t="shared" si="4"/>
        <v>0</v>
      </c>
    </row>
    <row r="39" spans="1:9" x14ac:dyDescent="0.25">
      <c r="A39" s="31" t="s">
        <v>25</v>
      </c>
      <c r="B39" s="97">
        <v>3966</v>
      </c>
      <c r="C39" s="98">
        <v>2876</v>
      </c>
      <c r="D39" s="32"/>
      <c r="E39" s="25">
        <f t="shared" si="3"/>
        <v>0.25249888584707453</v>
      </c>
      <c r="F39" s="26">
        <f t="shared" si="4"/>
        <v>0.1864022295676972</v>
      </c>
    </row>
    <row r="40" spans="1:9" x14ac:dyDescent="0.25">
      <c r="A40" s="31" t="s">
        <v>90</v>
      </c>
      <c r="B40" s="97">
        <v>0</v>
      </c>
      <c r="C40" s="98">
        <v>0</v>
      </c>
      <c r="D40" s="32"/>
      <c r="E40" s="25">
        <f t="shared" si="3"/>
        <v>0</v>
      </c>
      <c r="F40" s="26">
        <f t="shared" si="4"/>
        <v>0</v>
      </c>
    </row>
    <row r="41" spans="1:9" x14ac:dyDescent="0.25">
      <c r="A41" s="28" t="s">
        <v>26</v>
      </c>
      <c r="B41" s="89">
        <f>SUM(B36:B40)</f>
        <v>7716</v>
      </c>
      <c r="C41" s="15">
        <f>SUM(C36:C40)</f>
        <v>7226</v>
      </c>
      <c r="D41" s="32"/>
      <c r="E41" s="25">
        <f t="shared" si="3"/>
        <v>0.49124594130005728</v>
      </c>
      <c r="F41" s="26">
        <f t="shared" si="4"/>
        <v>0.46833884243956186</v>
      </c>
    </row>
    <row r="42" spans="1:9" ht="15.75" thickBot="1" x14ac:dyDescent="0.3">
      <c r="A42" s="34" t="s">
        <v>27</v>
      </c>
      <c r="B42" s="99">
        <f>B35+B41</f>
        <v>15707</v>
      </c>
      <c r="C42" s="100">
        <f>C35+C41</f>
        <v>15429</v>
      </c>
      <c r="D42" s="23"/>
      <c r="E42" s="59">
        <f>B42/$B$42</f>
        <v>1</v>
      </c>
      <c r="F42" s="60">
        <f>C42/$C$42</f>
        <v>1</v>
      </c>
    </row>
    <row r="43" spans="1:9" ht="15.75" thickBot="1" x14ac:dyDescent="0.3">
      <c r="A43" s="149" t="s">
        <v>128</v>
      </c>
      <c r="B43" s="77"/>
      <c r="C43" s="3"/>
    </row>
    <row r="44" spans="1:9" ht="15.75" thickBot="1" x14ac:dyDescent="0.3">
      <c r="A44" s="16" t="s">
        <v>129</v>
      </c>
      <c r="B44" s="119">
        <f>C3</f>
        <v>23598</v>
      </c>
      <c r="C44" s="21"/>
      <c r="D44" s="261" t="s">
        <v>12</v>
      </c>
      <c r="E44" s="261"/>
      <c r="F44" s="261"/>
      <c r="G44" s="261"/>
      <c r="H44" s="261"/>
      <c r="I44" s="262"/>
    </row>
    <row r="45" spans="1:9" ht="18" thickBot="1" x14ac:dyDescent="0.45">
      <c r="A45" s="16" t="s">
        <v>130</v>
      </c>
      <c r="B45" s="153">
        <f>C18-B18</f>
        <v>-55</v>
      </c>
      <c r="C45" s="21"/>
      <c r="D45" s="260" t="s">
        <v>105</v>
      </c>
      <c r="E45" s="260"/>
      <c r="F45" s="260"/>
      <c r="G45" s="260" t="s">
        <v>106</v>
      </c>
      <c r="H45" s="260"/>
      <c r="I45" s="260"/>
    </row>
    <row r="46" spans="1:9" ht="17.25" x14ac:dyDescent="0.4">
      <c r="A46" s="10" t="s">
        <v>131</v>
      </c>
      <c r="B46" s="160">
        <f>SUM(B44:B45)</f>
        <v>23543</v>
      </c>
      <c r="C46" s="21"/>
      <c r="D46" s="65" t="s">
        <v>107</v>
      </c>
      <c r="E46" s="66"/>
      <c r="F46" s="67" t="s">
        <v>108</v>
      </c>
      <c r="G46" s="65" t="s">
        <v>107</v>
      </c>
      <c r="H46" s="66"/>
      <c r="I46" s="68" t="s">
        <v>108</v>
      </c>
    </row>
    <row r="47" spans="1:9" ht="15.75" thickBot="1" x14ac:dyDescent="0.3">
      <c r="A47" s="151"/>
      <c r="B47" s="154"/>
      <c r="C47" s="21"/>
      <c r="D47" s="70" t="s">
        <v>117</v>
      </c>
      <c r="E47" s="71" t="s">
        <v>115</v>
      </c>
      <c r="F47" s="146">
        <v>957</v>
      </c>
      <c r="G47" s="70"/>
      <c r="H47" s="71"/>
      <c r="I47" s="73"/>
    </row>
    <row r="48" spans="1:9" ht="15.75" thickBot="1" x14ac:dyDescent="0.3">
      <c r="A48" s="149" t="s">
        <v>132</v>
      </c>
      <c r="B48" s="155"/>
      <c r="C48" s="21"/>
      <c r="D48" s="70" t="s">
        <v>117</v>
      </c>
      <c r="E48" s="71" t="s">
        <v>2</v>
      </c>
      <c r="F48" s="146">
        <v>23598</v>
      </c>
      <c r="G48" s="145">
        <f>F47+F48-F49</f>
        <v>23543</v>
      </c>
      <c r="H48" s="71" t="s">
        <v>147</v>
      </c>
      <c r="I48" s="73"/>
    </row>
    <row r="49" spans="1:9" x14ac:dyDescent="0.25">
      <c r="A49" s="16" t="s">
        <v>133</v>
      </c>
      <c r="B49" s="119">
        <f>C4</f>
        <v>11456</v>
      </c>
      <c r="C49" s="21"/>
      <c r="D49" s="74" t="s">
        <v>117</v>
      </c>
      <c r="E49" s="75" t="s">
        <v>145</v>
      </c>
      <c r="F49" s="144">
        <v>1012</v>
      </c>
      <c r="G49" s="74"/>
      <c r="H49" s="75" t="str">
        <f>IF(SUM(I47:I49)&gt;SUM(F47:F49),"Bal","")</f>
        <v/>
      </c>
      <c r="I49" s="76"/>
    </row>
    <row r="50" spans="1:9" ht="17.25" x14ac:dyDescent="0.4">
      <c r="A50" s="16" t="s">
        <v>134</v>
      </c>
      <c r="B50" s="153">
        <f>B19-C19</f>
        <v>707</v>
      </c>
      <c r="C50" s="21"/>
    </row>
    <row r="51" spans="1:9" x14ac:dyDescent="0.25">
      <c r="A51" s="16" t="s">
        <v>135</v>
      </c>
      <c r="B51" s="119">
        <f>SUM(B49:B50)</f>
        <v>12163</v>
      </c>
      <c r="C51" s="21"/>
      <c r="D51" s="70"/>
      <c r="E51" s="111"/>
      <c r="F51" s="143"/>
      <c r="G51" s="143"/>
      <c r="H51" s="71"/>
      <c r="I51" s="73"/>
    </row>
    <row r="52" spans="1:9" ht="17.25" x14ac:dyDescent="0.4">
      <c r="A52" s="16" t="s">
        <v>136</v>
      </c>
      <c r="B52" s="153">
        <f>C28-B28</f>
        <v>-263</v>
      </c>
      <c r="C52" s="21"/>
    </row>
    <row r="53" spans="1:9" ht="17.25" x14ac:dyDescent="0.4">
      <c r="A53" s="10" t="s">
        <v>137</v>
      </c>
      <c r="B53" s="160">
        <f>SUM(B51:B52)</f>
        <v>11900</v>
      </c>
      <c r="C53" s="177">
        <f>B53/$B$101</f>
        <v>0.48656826266508568</v>
      </c>
    </row>
    <row r="54" spans="1:9" ht="15.75" thickBot="1" x14ac:dyDescent="0.3">
      <c r="A54" s="151"/>
      <c r="B54" s="154"/>
      <c r="C54" s="21"/>
    </row>
    <row r="55" spans="1:9" ht="15.75" thickBot="1" x14ac:dyDescent="0.3">
      <c r="A55" s="149" t="s">
        <v>138</v>
      </c>
      <c r="B55" s="155"/>
      <c r="C55" s="21"/>
    </row>
    <row r="56" spans="1:9" ht="15.75" thickBot="1" x14ac:dyDescent="0.3">
      <c r="A56" s="16" t="str">
        <f>A6</f>
        <v>Salaries &amp; Wages</v>
      </c>
      <c r="B56" s="119">
        <f>B6</f>
        <v>4123</v>
      </c>
      <c r="C56" s="21"/>
      <c r="D56" s="261" t="s">
        <v>91</v>
      </c>
      <c r="E56" s="261"/>
      <c r="F56" s="261"/>
      <c r="G56" s="261"/>
      <c r="H56" s="261"/>
      <c r="I56" s="262"/>
    </row>
    <row r="57" spans="1:9" ht="18" thickBot="1" x14ac:dyDescent="0.45">
      <c r="A57" s="16" t="s">
        <v>139</v>
      </c>
      <c r="B57" s="153">
        <f>C29-B29</f>
        <v>-10</v>
      </c>
      <c r="C57" s="21"/>
      <c r="D57" s="260" t="s">
        <v>105</v>
      </c>
      <c r="E57" s="260"/>
      <c r="F57" s="260"/>
      <c r="G57" s="260" t="s">
        <v>106</v>
      </c>
      <c r="H57" s="260"/>
      <c r="I57" s="260"/>
    </row>
    <row r="58" spans="1:9" ht="17.25" x14ac:dyDescent="0.4">
      <c r="A58" s="10" t="s">
        <v>140</v>
      </c>
      <c r="B58" s="160">
        <f>SUM(B56:B57)</f>
        <v>4113</v>
      </c>
      <c r="C58" s="177">
        <f>B58/$B$101</f>
        <v>0.16817271128920144</v>
      </c>
      <c r="D58" s="65" t="s">
        <v>107</v>
      </c>
      <c r="E58" s="66"/>
      <c r="F58" s="67" t="s">
        <v>108</v>
      </c>
      <c r="G58" s="65" t="s">
        <v>107</v>
      </c>
      <c r="H58" s="66"/>
      <c r="I58" s="68" t="s">
        <v>108</v>
      </c>
    </row>
    <row r="59" spans="1:9" ht="15.75" thickBot="1" x14ac:dyDescent="0.3">
      <c r="A59" s="151"/>
      <c r="B59" s="154"/>
      <c r="C59" s="21"/>
      <c r="D59" s="70"/>
      <c r="E59" s="111"/>
      <c r="F59" s="112"/>
      <c r="G59" s="110">
        <f>C29</f>
        <v>75</v>
      </c>
      <c r="H59" s="71" t="s">
        <v>141</v>
      </c>
      <c r="I59" s="73" t="s">
        <v>117</v>
      </c>
    </row>
    <row r="60" spans="1:9" ht="15.75" thickBot="1" x14ac:dyDescent="0.3">
      <c r="A60" s="149" t="s">
        <v>144</v>
      </c>
      <c r="B60" s="155"/>
      <c r="C60" s="21"/>
      <c r="D60" s="70"/>
      <c r="E60" s="111" t="s">
        <v>148</v>
      </c>
      <c r="F60" s="148">
        <f>G59+G60-G61</f>
        <v>4113</v>
      </c>
      <c r="G60" s="110">
        <f>B6</f>
        <v>4123</v>
      </c>
      <c r="H60" s="71" t="s">
        <v>143</v>
      </c>
      <c r="I60" s="73" t="s">
        <v>117</v>
      </c>
    </row>
    <row r="61" spans="1:9" x14ac:dyDescent="0.25">
      <c r="A61" s="16" t="str">
        <f>A8</f>
        <v>Other Operating</v>
      </c>
      <c r="B61" s="119">
        <f>B8</f>
        <v>3577</v>
      </c>
      <c r="C61" s="21"/>
      <c r="D61" s="74"/>
      <c r="E61" s="75"/>
      <c r="F61" s="76"/>
      <c r="G61" s="147">
        <f>B29</f>
        <v>85</v>
      </c>
      <c r="H61" s="75" t="s">
        <v>142</v>
      </c>
      <c r="I61" s="76" t="s">
        <v>117</v>
      </c>
    </row>
    <row r="62" spans="1:9" x14ac:dyDescent="0.25">
      <c r="A62" s="16" t="s">
        <v>146</v>
      </c>
      <c r="B62" s="119">
        <f>B20-C20</f>
        <v>-23</v>
      </c>
      <c r="C62" s="21"/>
      <c r="D62" s="70"/>
      <c r="E62" s="111"/>
      <c r="F62" s="143"/>
      <c r="G62" s="143"/>
      <c r="H62" s="71"/>
      <c r="I62" s="73"/>
    </row>
    <row r="63" spans="1:9" x14ac:dyDescent="0.25">
      <c r="A63" s="16" t="s">
        <v>149</v>
      </c>
      <c r="B63" s="119">
        <f>C32-B32</f>
        <v>-22</v>
      </c>
      <c r="C63" s="21"/>
      <c r="D63" s="70"/>
      <c r="E63" s="111"/>
      <c r="F63" s="143"/>
      <c r="G63" s="143"/>
      <c r="H63" s="71"/>
      <c r="I63" s="73"/>
    </row>
    <row r="64" spans="1:9" ht="17.25" x14ac:dyDescent="0.4">
      <c r="A64" s="150" t="s">
        <v>157</v>
      </c>
      <c r="B64" s="160">
        <f>SUM(B61:B63)</f>
        <v>3532</v>
      </c>
      <c r="C64" s="177">
        <f>B64/$B$101</f>
        <v>0.14441673140614139</v>
      </c>
      <c r="D64" s="70"/>
      <c r="E64" s="111"/>
      <c r="F64" s="143"/>
      <c r="G64" s="143"/>
      <c r="H64" s="71"/>
      <c r="I64" s="73"/>
    </row>
    <row r="65" spans="1:10" ht="15.75" thickBot="1" x14ac:dyDescent="0.3">
      <c r="A65" s="151"/>
      <c r="B65" s="154"/>
      <c r="C65" s="21"/>
      <c r="G65" s="111"/>
      <c r="H65" s="71"/>
      <c r="I65" s="73"/>
    </row>
    <row r="66" spans="1:10" ht="15.75" thickBot="1" x14ac:dyDescent="0.3">
      <c r="A66" s="149" t="s">
        <v>150</v>
      </c>
      <c r="B66" s="155"/>
      <c r="C66" s="21"/>
    </row>
    <row r="67" spans="1:10" ht="15.75" thickBot="1" x14ac:dyDescent="0.3">
      <c r="A67" s="16" t="s">
        <v>151</v>
      </c>
      <c r="B67" s="119">
        <f>-B12</f>
        <v>246</v>
      </c>
      <c r="C67" s="21"/>
      <c r="D67" s="261" t="s">
        <v>92</v>
      </c>
      <c r="E67" s="261"/>
      <c r="F67" s="261"/>
      <c r="G67" s="261"/>
      <c r="H67" s="261"/>
      <c r="I67" s="262"/>
    </row>
    <row r="68" spans="1:10" ht="18" thickBot="1" x14ac:dyDescent="0.45">
      <c r="A68" s="16" t="s">
        <v>152</v>
      </c>
      <c r="B68" s="156">
        <f>C30-B30</f>
        <v>12</v>
      </c>
      <c r="C68" s="21"/>
      <c r="D68" s="260" t="s">
        <v>105</v>
      </c>
      <c r="E68" s="260"/>
      <c r="F68" s="260"/>
      <c r="G68" s="260" t="s">
        <v>106</v>
      </c>
      <c r="H68" s="260"/>
      <c r="I68" s="260"/>
    </row>
    <row r="69" spans="1:10" ht="17.25" x14ac:dyDescent="0.4">
      <c r="A69" s="10" t="s">
        <v>158</v>
      </c>
      <c r="B69" s="160">
        <f>SUM(B67:B68)</f>
        <v>258</v>
      </c>
      <c r="C69" s="177">
        <f>B69/$B$101</f>
        <v>1.0549127039293454E-2</v>
      </c>
      <c r="D69" s="65" t="s">
        <v>107</v>
      </c>
      <c r="E69" s="66"/>
      <c r="F69" s="67" t="s">
        <v>108</v>
      </c>
      <c r="G69" s="65" t="s">
        <v>107</v>
      </c>
      <c r="H69" s="66"/>
      <c r="I69" s="68" t="s">
        <v>108</v>
      </c>
    </row>
    <row r="70" spans="1:10" ht="15.75" thickBot="1" x14ac:dyDescent="0.3">
      <c r="A70" s="151"/>
      <c r="B70" s="82"/>
      <c r="C70" s="21"/>
      <c r="D70" s="70"/>
      <c r="E70" s="111"/>
      <c r="F70" s="112"/>
      <c r="G70" s="110">
        <f>C30</f>
        <v>74</v>
      </c>
      <c r="H70" s="71" t="s">
        <v>141</v>
      </c>
      <c r="I70" s="73" t="s">
        <v>117</v>
      </c>
    </row>
    <row r="71" spans="1:10" ht="15.75" thickBot="1" x14ac:dyDescent="0.3">
      <c r="A71" s="149" t="s">
        <v>154</v>
      </c>
      <c r="B71" s="155"/>
      <c r="C71" s="21"/>
      <c r="D71" s="70"/>
      <c r="E71" s="111" t="s">
        <v>153</v>
      </c>
      <c r="F71" s="148">
        <f>G70+G71-G72</f>
        <v>258</v>
      </c>
      <c r="G71" s="110">
        <f>-B12</f>
        <v>246</v>
      </c>
      <c r="H71" s="71" t="s">
        <v>143</v>
      </c>
      <c r="I71" s="73" t="s">
        <v>117</v>
      </c>
    </row>
    <row r="72" spans="1:10" x14ac:dyDescent="0.25">
      <c r="A72" s="16" t="s">
        <v>155</v>
      </c>
      <c r="B72" s="157">
        <f>C14</f>
        <v>1139</v>
      </c>
      <c r="C72" s="21"/>
      <c r="D72" s="74"/>
      <c r="E72" s="75"/>
      <c r="F72" s="76"/>
      <c r="G72" s="147">
        <f>B30</f>
        <v>62</v>
      </c>
      <c r="H72" s="75" t="s">
        <v>142</v>
      </c>
      <c r="I72" s="76" t="s">
        <v>117</v>
      </c>
    </row>
    <row r="73" spans="1:10" x14ac:dyDescent="0.25">
      <c r="A73" s="16" t="s">
        <v>156</v>
      </c>
      <c r="B73" s="119">
        <f>C31-B31</f>
        <v>-5</v>
      </c>
      <c r="C73" s="21"/>
    </row>
    <row r="74" spans="1:10" ht="17.25" x14ac:dyDescent="0.4">
      <c r="A74" s="10" t="s">
        <v>159</v>
      </c>
      <c r="B74" s="160">
        <f>SUM(B72:B73)</f>
        <v>1134</v>
      </c>
      <c r="C74" s="177">
        <f>B74/$B$101</f>
        <v>4.6367093265731692E-2</v>
      </c>
    </row>
    <row r="75" spans="1:10" ht="15.75" thickBot="1" x14ac:dyDescent="0.3">
      <c r="A75" s="16"/>
      <c r="B75" s="81"/>
      <c r="C75" s="152"/>
    </row>
    <row r="76" spans="1:10" ht="15.75" thickBot="1" x14ac:dyDescent="0.3">
      <c r="A76" s="1" t="s">
        <v>160</v>
      </c>
      <c r="B76" s="77"/>
      <c r="C76" s="3"/>
      <c r="D76" s="261" t="s">
        <v>109</v>
      </c>
      <c r="E76" s="261"/>
      <c r="F76" s="261"/>
      <c r="G76" s="261"/>
      <c r="H76" s="261"/>
      <c r="I76" s="262"/>
    </row>
    <row r="77" spans="1:10" ht="15.75" thickBot="1" x14ac:dyDescent="0.3">
      <c r="A77" s="27" t="s">
        <v>161</v>
      </c>
      <c r="B77" s="119">
        <f>C24</f>
        <v>8555</v>
      </c>
      <c r="C77" s="21" t="s">
        <v>117</v>
      </c>
      <c r="D77" s="260" t="s">
        <v>105</v>
      </c>
      <c r="E77" s="260"/>
      <c r="F77" s="260"/>
      <c r="G77" s="260" t="s">
        <v>106</v>
      </c>
      <c r="H77" s="260"/>
      <c r="I77" s="260"/>
    </row>
    <row r="78" spans="1:10" x14ac:dyDescent="0.25">
      <c r="A78" s="24" t="s">
        <v>162</v>
      </c>
      <c r="B78" s="159">
        <f>F80</f>
        <v>1300</v>
      </c>
      <c r="C78" s="177">
        <f>B78/$B$101</f>
        <v>5.3154516089463137E-2</v>
      </c>
      <c r="D78" s="65" t="s">
        <v>107</v>
      </c>
      <c r="E78" s="66"/>
      <c r="F78" s="67" t="s">
        <v>108</v>
      </c>
      <c r="G78" s="65" t="s">
        <v>107</v>
      </c>
      <c r="H78" s="66"/>
      <c r="I78" s="68" t="s">
        <v>108</v>
      </c>
      <c r="J78" s="69"/>
    </row>
    <row r="79" spans="1:10" ht="17.25" x14ac:dyDescent="0.4">
      <c r="A79" s="24" t="s">
        <v>170</v>
      </c>
      <c r="B79" s="153">
        <f>B24</f>
        <v>8798</v>
      </c>
      <c r="C79" s="21" t="s">
        <v>117</v>
      </c>
      <c r="D79" s="70"/>
      <c r="E79" s="71" t="s">
        <v>115</v>
      </c>
      <c r="F79" s="72">
        <v>8555</v>
      </c>
      <c r="G79" s="70"/>
      <c r="H79" s="71"/>
      <c r="I79" s="73"/>
    </row>
    <row r="80" spans="1:10" ht="15.75" thickBot="1" x14ac:dyDescent="0.3">
      <c r="A80" s="24" t="s">
        <v>168</v>
      </c>
      <c r="B80" s="119">
        <f>B77+B78-B79</f>
        <v>1057</v>
      </c>
      <c r="C80" s="21" t="s">
        <v>126</v>
      </c>
      <c r="D80" s="70"/>
      <c r="E80" s="71" t="s">
        <v>116</v>
      </c>
      <c r="F80" s="72">
        <v>1300</v>
      </c>
      <c r="G80" s="110">
        <f>F79+F80-F81</f>
        <v>1057</v>
      </c>
      <c r="H80" s="71"/>
      <c r="I80" s="73"/>
    </row>
    <row r="81" spans="1:9" x14ac:dyDescent="0.25">
      <c r="A81" s="16"/>
      <c r="B81" s="119"/>
      <c r="C81" s="21"/>
      <c r="D81" s="74" t="s">
        <v>117</v>
      </c>
      <c r="E81" s="75" t="str">
        <f>IF(SUM(F79:F80)&gt;=SUM(I79:I80),"Bal","")</f>
        <v>Bal</v>
      </c>
      <c r="F81" s="76">
        <v>8798</v>
      </c>
      <c r="G81" s="74"/>
      <c r="H81" s="75" t="str">
        <f>IF(SUM(I79:I80)&gt;SUM(F79:F80),"Bal","")</f>
        <v/>
      </c>
      <c r="I81" s="76" t="str">
        <f>IF(SUM(I79:I80)&gt;SUM(F79:F80),SUM(I79:I80)-SUM(F79:F80),"")</f>
        <v/>
      </c>
    </row>
    <row r="82" spans="1:9" ht="15.75" thickBot="1" x14ac:dyDescent="0.3">
      <c r="A82" s="16" t="s">
        <v>163</v>
      </c>
      <c r="B82" s="119">
        <f>-C25</f>
        <v>2891</v>
      </c>
      <c r="C82" s="21" t="s">
        <v>117</v>
      </c>
    </row>
    <row r="83" spans="1:9" ht="15.75" thickBot="1" x14ac:dyDescent="0.3">
      <c r="A83" s="16" t="s">
        <v>164</v>
      </c>
      <c r="B83" s="119">
        <f>B7</f>
        <v>1052</v>
      </c>
      <c r="C83" s="21" t="s">
        <v>117</v>
      </c>
      <c r="D83" s="261" t="s">
        <v>110</v>
      </c>
      <c r="E83" s="261"/>
      <c r="F83" s="261"/>
      <c r="G83" s="261"/>
      <c r="H83" s="261"/>
      <c r="I83" s="262"/>
    </row>
    <row r="84" spans="1:9" ht="15.75" thickBot="1" x14ac:dyDescent="0.3">
      <c r="A84" s="16" t="s">
        <v>165</v>
      </c>
      <c r="B84" s="122">
        <f>-B25</f>
        <v>3443</v>
      </c>
      <c r="C84" s="21" t="s">
        <v>117</v>
      </c>
      <c r="D84" s="260" t="s">
        <v>105</v>
      </c>
      <c r="E84" s="260"/>
      <c r="F84" s="260"/>
      <c r="G84" s="260" t="s">
        <v>106</v>
      </c>
      <c r="H84" s="260"/>
      <c r="I84" s="260"/>
    </row>
    <row r="85" spans="1:9" x14ac:dyDescent="0.25">
      <c r="A85" s="16" t="s">
        <v>166</v>
      </c>
      <c r="B85" s="119">
        <f>B82+B83-B84</f>
        <v>500</v>
      </c>
      <c r="C85" s="21" t="s">
        <v>126</v>
      </c>
      <c r="D85" s="65" t="s">
        <v>107</v>
      </c>
      <c r="E85" s="66"/>
      <c r="F85" s="67" t="s">
        <v>108</v>
      </c>
      <c r="G85" s="65" t="s">
        <v>107</v>
      </c>
      <c r="H85" s="66"/>
      <c r="I85" s="68" t="s">
        <v>108</v>
      </c>
    </row>
    <row r="86" spans="1:9" x14ac:dyDescent="0.25">
      <c r="A86" s="16"/>
      <c r="B86" s="119"/>
      <c r="C86" s="21"/>
      <c r="D86" s="70"/>
      <c r="E86" s="111"/>
      <c r="F86" s="112"/>
      <c r="G86" s="111">
        <v>2891</v>
      </c>
      <c r="H86" s="71"/>
      <c r="I86" s="73"/>
    </row>
    <row r="87" spans="1:9" ht="15.75" thickBot="1" x14ac:dyDescent="0.3">
      <c r="A87" s="16" t="s">
        <v>167</v>
      </c>
      <c r="B87" s="119">
        <f>B80-B85</f>
        <v>557</v>
      </c>
      <c r="C87" s="21" t="s">
        <v>126</v>
      </c>
      <c r="D87" s="70" t="s">
        <v>123</v>
      </c>
      <c r="E87" s="111"/>
      <c r="F87" s="114">
        <f>G86+G87-G88</f>
        <v>500</v>
      </c>
      <c r="G87" s="111">
        <v>1052</v>
      </c>
      <c r="H87" s="71"/>
      <c r="I87" s="73"/>
    </row>
    <row r="88" spans="1:9" ht="17.25" x14ac:dyDescent="0.4">
      <c r="A88" s="16" t="s">
        <v>125</v>
      </c>
      <c r="B88" s="153">
        <f>B11</f>
        <v>205</v>
      </c>
      <c r="C88" s="21" t="s">
        <v>117</v>
      </c>
      <c r="D88" s="74"/>
      <c r="E88" s="75"/>
      <c r="F88" s="76"/>
      <c r="G88" s="113">
        <v>3443</v>
      </c>
      <c r="H88" s="75" t="str">
        <f>IF(SUM(I86:I87)&gt;SUM(F86:F87),"Bal","")</f>
        <v/>
      </c>
      <c r="I88" s="76" t="str">
        <f>IF(SUM(I86:I87)&gt;SUM(F86:F87),SUM(I86:I87)-SUM(F86:F87),"")</f>
        <v/>
      </c>
    </row>
    <row r="89" spans="1:9" x14ac:dyDescent="0.25">
      <c r="A89" s="16" t="s">
        <v>169</v>
      </c>
      <c r="B89" s="159">
        <f>SUM(B87:B88)</f>
        <v>762</v>
      </c>
      <c r="C89" s="21" t="s">
        <v>126</v>
      </c>
    </row>
    <row r="90" spans="1:9" ht="15.75" thickBot="1" x14ac:dyDescent="0.3">
      <c r="A90" s="151"/>
      <c r="B90" s="154"/>
      <c r="C90" s="152"/>
      <c r="G90" t="s">
        <v>124</v>
      </c>
      <c r="H90" s="129">
        <f>G80-F87</f>
        <v>557</v>
      </c>
    </row>
    <row r="91" spans="1:9" ht="17.25" x14ac:dyDescent="0.4">
      <c r="A91" s="1" t="s">
        <v>171</v>
      </c>
      <c r="B91" s="155"/>
      <c r="C91" s="3"/>
      <c r="G91" t="s">
        <v>125</v>
      </c>
      <c r="H91" s="130">
        <f>B11</f>
        <v>205</v>
      </c>
    </row>
    <row r="92" spans="1:9" x14ac:dyDescent="0.25">
      <c r="A92" s="27" t="s">
        <v>172</v>
      </c>
      <c r="B92" s="158">
        <f>B34-C34</f>
        <v>-500</v>
      </c>
      <c r="C92" s="177">
        <f>-B92/$B$101</f>
        <v>2.0444044649793516E-2</v>
      </c>
      <c r="G92" t="s">
        <v>11</v>
      </c>
      <c r="H92" s="140">
        <f>SUM(H90:H91)</f>
        <v>762</v>
      </c>
    </row>
    <row r="93" spans="1:9" x14ac:dyDescent="0.25">
      <c r="A93" s="27" t="s">
        <v>173</v>
      </c>
      <c r="B93" s="158">
        <f>B37-C37</f>
        <v>-600</v>
      </c>
      <c r="C93" s="177">
        <f>-B93/$B$101</f>
        <v>2.4532853579752219E-2</v>
      </c>
    </row>
    <row r="94" spans="1:9" x14ac:dyDescent="0.25">
      <c r="A94" s="16"/>
      <c r="B94" s="119"/>
      <c r="C94" s="21"/>
    </row>
    <row r="95" spans="1:9" x14ac:dyDescent="0.25">
      <c r="A95" s="16" t="s">
        <v>174</v>
      </c>
      <c r="B95" s="119">
        <f>C39</f>
        <v>2876</v>
      </c>
      <c r="C95" s="21" t="s">
        <v>117</v>
      </c>
    </row>
    <row r="96" spans="1:9" x14ac:dyDescent="0.25">
      <c r="A96" s="16" t="s">
        <v>175</v>
      </c>
      <c r="B96" s="119">
        <f>C15</f>
        <v>2210</v>
      </c>
      <c r="C96" s="21" t="s">
        <v>117</v>
      </c>
    </row>
    <row r="97" spans="1:3" ht="17.25" x14ac:dyDescent="0.4">
      <c r="A97" s="16" t="s">
        <v>165</v>
      </c>
      <c r="B97" s="153">
        <f>B39</f>
        <v>3966</v>
      </c>
      <c r="C97" s="21" t="s">
        <v>117</v>
      </c>
    </row>
    <row r="98" spans="1:3" x14ac:dyDescent="0.25">
      <c r="A98" s="10" t="s">
        <v>176</v>
      </c>
      <c r="B98" s="158">
        <f>B95+B96-B97</f>
        <v>1120</v>
      </c>
      <c r="C98" s="177">
        <f>B98/$B$101</f>
        <v>4.5794660015537475E-2</v>
      </c>
    </row>
    <row r="99" spans="1:3" ht="15.75" thickBot="1" x14ac:dyDescent="0.3">
      <c r="A99" s="151"/>
      <c r="B99" s="154"/>
      <c r="C99" s="178">
        <f>C53+C58+C64+C69+C74+C78+C92+C93+C98</f>
        <v>1</v>
      </c>
    </row>
    <row r="100" spans="1:3" ht="15.75" thickBot="1" x14ac:dyDescent="0.3">
      <c r="A100" s="22" t="s">
        <v>192</v>
      </c>
      <c r="B100" s="126">
        <f>B46+B89</f>
        <v>24305</v>
      </c>
      <c r="C100" s="33"/>
    </row>
    <row r="101" spans="1:3" ht="15.75" thickBot="1" x14ac:dyDescent="0.3">
      <c r="A101" s="176" t="s">
        <v>193</v>
      </c>
      <c r="B101" s="175">
        <f>B53+B58+B64+B69+B74+B78-B92-B93+B98</f>
        <v>24457</v>
      </c>
    </row>
    <row r="102" spans="1:3" x14ac:dyDescent="0.25">
      <c r="A102" s="10" t="s">
        <v>177</v>
      </c>
      <c r="B102" s="81"/>
    </row>
    <row r="103" spans="1:3" x14ac:dyDescent="0.25">
      <c r="A103" s="16" t="str">
        <f>A46</f>
        <v>Cash from Customers</v>
      </c>
      <c r="B103" s="161">
        <f>B46</f>
        <v>23543</v>
      </c>
    </row>
    <row r="104" spans="1:3" x14ac:dyDescent="0.25">
      <c r="A104" s="16" t="str">
        <f>A53</f>
        <v>Cash Paid to Supplier</v>
      </c>
      <c r="B104" s="161">
        <f>-B53</f>
        <v>-11900</v>
      </c>
    </row>
    <row r="105" spans="1:3" x14ac:dyDescent="0.25">
      <c r="A105" s="16" t="str">
        <f>A58</f>
        <v>Cash Paid to Employees</v>
      </c>
      <c r="B105" s="161">
        <f>-B58</f>
        <v>-4113</v>
      </c>
    </row>
    <row r="106" spans="1:3" x14ac:dyDescent="0.25">
      <c r="A106" s="16" t="str">
        <f>A64</f>
        <v>Cash Paid for Other Operating</v>
      </c>
      <c r="B106" s="161">
        <f>-B64</f>
        <v>-3532</v>
      </c>
    </row>
    <row r="107" spans="1:3" x14ac:dyDescent="0.25">
      <c r="A107" s="16" t="str">
        <f>A69</f>
        <v>Cash Paid for Interest</v>
      </c>
      <c r="B107" s="161">
        <f>-B69</f>
        <v>-258</v>
      </c>
    </row>
    <row r="108" spans="1:3" x14ac:dyDescent="0.25">
      <c r="A108" s="16" t="str">
        <f>A74</f>
        <v>Cash Paid for Taxes</v>
      </c>
      <c r="B108" s="162">
        <f>-B74</f>
        <v>-1134</v>
      </c>
    </row>
    <row r="109" spans="1:3" x14ac:dyDescent="0.25">
      <c r="A109" s="10" t="s">
        <v>180</v>
      </c>
      <c r="B109" s="163">
        <f>SUM(B103:B108)</f>
        <v>2606</v>
      </c>
    </row>
    <row r="110" spans="1:3" x14ac:dyDescent="0.25">
      <c r="A110" s="10" t="s">
        <v>178</v>
      </c>
      <c r="B110" s="81"/>
    </row>
    <row r="111" spans="1:3" x14ac:dyDescent="0.25">
      <c r="A111" s="16" t="str">
        <f>A78</f>
        <v xml:space="preserve">Equipment Bought </v>
      </c>
      <c r="B111" s="161">
        <f>-B78</f>
        <v>-1300</v>
      </c>
    </row>
    <row r="112" spans="1:3" x14ac:dyDescent="0.25">
      <c r="A112" s="16" t="str">
        <f>A89</f>
        <v>Cash from Sold Equipment</v>
      </c>
      <c r="B112" s="162">
        <f>B89</f>
        <v>762</v>
      </c>
    </row>
    <row r="113" spans="1:2" x14ac:dyDescent="0.25">
      <c r="A113" s="10" t="s">
        <v>181</v>
      </c>
      <c r="B113" s="163">
        <f>SUM(B111:B112)</f>
        <v>-538</v>
      </c>
    </row>
    <row r="114" spans="1:2" x14ac:dyDescent="0.25">
      <c r="A114" s="10" t="s">
        <v>179</v>
      </c>
      <c r="B114" s="81"/>
    </row>
    <row r="115" spans="1:2" x14ac:dyDescent="0.25">
      <c r="A115" s="16" t="str">
        <f>A92</f>
        <v>Change in Long Term Debt</v>
      </c>
      <c r="B115" s="161">
        <f>B92</f>
        <v>-500</v>
      </c>
    </row>
    <row r="116" spans="1:2" x14ac:dyDescent="0.25">
      <c r="A116" s="16" t="str">
        <f>A93</f>
        <v>Change in Common Stock</v>
      </c>
      <c r="B116" s="161">
        <f>B93</f>
        <v>-600</v>
      </c>
    </row>
    <row r="117" spans="1:2" x14ac:dyDescent="0.25">
      <c r="A117" s="16" t="str">
        <f>A98</f>
        <v>Equals Dividends</v>
      </c>
      <c r="B117" s="162">
        <f>-B98</f>
        <v>-1120</v>
      </c>
    </row>
    <row r="118" spans="1:2" x14ac:dyDescent="0.25">
      <c r="A118" s="10" t="s">
        <v>182</v>
      </c>
      <c r="B118" s="163">
        <f>SUM(B115:B117)</f>
        <v>-2220</v>
      </c>
    </row>
    <row r="119" spans="1:2" x14ac:dyDescent="0.25">
      <c r="A119" s="16"/>
      <c r="B119" s="81"/>
    </row>
    <row r="120" spans="1:2" x14ac:dyDescent="0.25">
      <c r="A120" s="16" t="s">
        <v>184</v>
      </c>
      <c r="B120" s="161">
        <f>B109+B113+B118</f>
        <v>-152</v>
      </c>
    </row>
    <row r="121" spans="1:2" ht="17.25" x14ac:dyDescent="0.4">
      <c r="A121" s="16" t="s">
        <v>183</v>
      </c>
      <c r="B121" s="164">
        <f>C17</f>
        <v>1163</v>
      </c>
    </row>
    <row r="122" spans="1:2" x14ac:dyDescent="0.25">
      <c r="A122" s="10" t="s">
        <v>185</v>
      </c>
      <c r="B122" s="165">
        <f>SUM(B120:B121)</f>
        <v>1011</v>
      </c>
    </row>
    <row r="123" spans="1:2" ht="15.75" thickBot="1" x14ac:dyDescent="0.3">
      <c r="A123" s="151"/>
      <c r="B123" s="82"/>
    </row>
    <row r="125" spans="1:2" x14ac:dyDescent="0.25">
      <c r="A125" s="166" t="s">
        <v>186</v>
      </c>
    </row>
    <row r="126" spans="1:2" x14ac:dyDescent="0.25">
      <c r="A126" s="167" t="s">
        <v>177</v>
      </c>
      <c r="B126" s="168">
        <f>B109</f>
        <v>2606</v>
      </c>
    </row>
    <row r="127" spans="1:2" x14ac:dyDescent="0.25">
      <c r="A127" s="167" t="s">
        <v>187</v>
      </c>
      <c r="B127" s="168">
        <f>-B107*(1-D14)</f>
        <v>170.25380710659897</v>
      </c>
    </row>
    <row r="128" spans="1:2" x14ac:dyDescent="0.25">
      <c r="A128" s="167" t="s">
        <v>188</v>
      </c>
      <c r="B128" s="174">
        <f>B113</f>
        <v>-538</v>
      </c>
    </row>
    <row r="129" spans="1:2" ht="17.25" x14ac:dyDescent="0.4">
      <c r="B129" s="169">
        <f>SUM(B126:B128)</f>
        <v>2238.2538071065992</v>
      </c>
    </row>
    <row r="130" spans="1:2" x14ac:dyDescent="0.25">
      <c r="B130" s="168"/>
    </row>
    <row r="131" spans="1:2" x14ac:dyDescent="0.25">
      <c r="A131" s="170" t="s">
        <v>189</v>
      </c>
      <c r="B131" s="168"/>
    </row>
    <row r="132" spans="1:2" x14ac:dyDescent="0.25">
      <c r="A132" t="s">
        <v>177</v>
      </c>
      <c r="B132" s="37">
        <f>B126</f>
        <v>2606</v>
      </c>
    </row>
    <row r="133" spans="1:2" x14ac:dyDescent="0.25">
      <c r="A133" t="s">
        <v>190</v>
      </c>
      <c r="B133" s="171">
        <f>B113</f>
        <v>-538</v>
      </c>
    </row>
    <row r="134" spans="1:2" x14ac:dyDescent="0.25">
      <c r="A134" t="s">
        <v>191</v>
      </c>
      <c r="B134" s="172">
        <f>B115</f>
        <v>-500</v>
      </c>
    </row>
    <row r="135" spans="1:2" ht="17.25" x14ac:dyDescent="0.4">
      <c r="B135" s="173">
        <f>SUM(B132:B134)</f>
        <v>1568</v>
      </c>
    </row>
  </sheetData>
  <mergeCells count="17">
    <mergeCell ref="E1:F1"/>
    <mergeCell ref="B2:C2"/>
    <mergeCell ref="D84:F84"/>
    <mergeCell ref="G84:I84"/>
    <mergeCell ref="D44:I44"/>
    <mergeCell ref="D45:F45"/>
    <mergeCell ref="G45:I45"/>
    <mergeCell ref="D56:I56"/>
    <mergeCell ref="D57:F57"/>
    <mergeCell ref="G57:I57"/>
    <mergeCell ref="D67:I67"/>
    <mergeCell ref="D68:F68"/>
    <mergeCell ref="G68:I68"/>
    <mergeCell ref="D76:I76"/>
    <mergeCell ref="D83:I83"/>
    <mergeCell ref="D77:F77"/>
    <mergeCell ref="G77:I77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  <headerFooter>
    <oddHeader xml:space="preserve">&amp;CPage 90 &amp; 91
</oddHeader>
    <oddFooter>&amp;CPrepared by Ted Stephenson, CFA, CMA, MBA</oddFooter>
  </headerFooter>
  <ignoredErrors>
    <ignoredError sqref="B52" formula="1"/>
    <ignoredError sqref="E81 H81:I81 B21:C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zoomScale="110" zoomScaleNormal="110" zoomScalePageLayoutView="64" workbookViewId="0"/>
  </sheetViews>
  <sheetFormatPr defaultRowHeight="15" x14ac:dyDescent="0.25"/>
  <cols>
    <col min="1" max="1" width="33.7109375" bestFit="1" customWidth="1"/>
    <col min="2" max="2" width="10.5703125" bestFit="1" customWidth="1"/>
    <col min="3" max="3" width="15.5703125" bestFit="1" customWidth="1"/>
    <col min="4" max="4" width="10.140625" bestFit="1" customWidth="1"/>
    <col min="5" max="6" width="9.28515625" bestFit="1" customWidth="1"/>
    <col min="11" max="11" width="10.5703125" bestFit="1" customWidth="1"/>
    <col min="18" max="18" width="10.5703125" bestFit="1" customWidth="1"/>
  </cols>
  <sheetData>
    <row r="1" spans="1:6" ht="15.75" thickBot="1" x14ac:dyDescent="0.3">
      <c r="A1" s="1"/>
      <c r="B1" s="2"/>
      <c r="C1" s="3"/>
      <c r="D1" s="4"/>
      <c r="E1" s="263" t="s">
        <v>0</v>
      </c>
      <c r="F1" s="264"/>
    </row>
    <row r="2" spans="1:6" x14ac:dyDescent="0.25">
      <c r="A2" s="35" t="s">
        <v>1</v>
      </c>
      <c r="B2" s="265">
        <v>2009</v>
      </c>
      <c r="C2" s="266"/>
      <c r="D2" s="8"/>
      <c r="E2" s="9"/>
      <c r="F2" s="7">
        <v>2009</v>
      </c>
    </row>
    <row r="3" spans="1:6" x14ac:dyDescent="0.25">
      <c r="A3" s="10" t="s">
        <v>2</v>
      </c>
      <c r="B3" s="83"/>
      <c r="C3" s="53">
        <v>23598</v>
      </c>
      <c r="D3" s="8"/>
      <c r="E3" s="12"/>
      <c r="F3" s="13">
        <f>C3/C$3</f>
        <v>1</v>
      </c>
    </row>
    <row r="4" spans="1:6" x14ac:dyDescent="0.25">
      <c r="A4" s="14" t="s">
        <v>3</v>
      </c>
      <c r="B4" s="83"/>
      <c r="C4" s="53">
        <v>11456</v>
      </c>
      <c r="D4" s="8"/>
      <c r="E4" s="12"/>
      <c r="F4" s="13">
        <f>C4/C$3</f>
        <v>0.48546486990422916</v>
      </c>
    </row>
    <row r="5" spans="1:6" x14ac:dyDescent="0.25">
      <c r="A5" s="10" t="s">
        <v>4</v>
      </c>
      <c r="B5" s="84"/>
      <c r="C5" s="15">
        <f>C3-C4</f>
        <v>12142</v>
      </c>
      <c r="D5" s="8"/>
      <c r="E5" s="12"/>
      <c r="F5" s="13">
        <f>C5/C$3</f>
        <v>0.51453513009577079</v>
      </c>
    </row>
    <row r="6" spans="1:6" x14ac:dyDescent="0.25">
      <c r="A6" s="14" t="s">
        <v>82</v>
      </c>
      <c r="B6" s="83">
        <v>4123</v>
      </c>
      <c r="C6" s="21"/>
      <c r="D6" s="8"/>
      <c r="E6" s="12"/>
      <c r="F6" s="13">
        <f>B6/C$3</f>
        <v>0.17471819645732689</v>
      </c>
    </row>
    <row r="7" spans="1:6" x14ac:dyDescent="0.25">
      <c r="A7" s="16" t="s">
        <v>83</v>
      </c>
      <c r="B7" s="83">
        <v>1052</v>
      </c>
      <c r="C7" s="21"/>
      <c r="D7" s="8"/>
      <c r="E7" s="12"/>
      <c r="F7" s="13">
        <f t="shared" ref="F7:F11" si="0">B7/C$3</f>
        <v>4.4580049156708199E-2</v>
      </c>
    </row>
    <row r="8" spans="1:6" x14ac:dyDescent="0.25">
      <c r="A8" s="16" t="s">
        <v>84</v>
      </c>
      <c r="B8" s="83">
        <v>3577</v>
      </c>
      <c r="C8" s="21"/>
      <c r="D8" s="8"/>
      <c r="E8" s="12"/>
      <c r="F8" s="13">
        <f t="shared" si="0"/>
        <v>0.15158064242732436</v>
      </c>
    </row>
    <row r="9" spans="1:6" x14ac:dyDescent="0.25">
      <c r="A9" s="16" t="s">
        <v>86</v>
      </c>
      <c r="B9" s="85"/>
      <c r="C9" s="54">
        <f>B6+B7+B8</f>
        <v>8752</v>
      </c>
      <c r="D9" s="8"/>
      <c r="E9" s="12"/>
      <c r="F9" s="13">
        <f>C9/C$3</f>
        <v>0.37087888804135943</v>
      </c>
    </row>
    <row r="10" spans="1:6" x14ac:dyDescent="0.25">
      <c r="A10" s="10" t="s">
        <v>5</v>
      </c>
      <c r="B10" s="86"/>
      <c r="C10" s="15">
        <f>C5-B6-B7-B8</f>
        <v>3390</v>
      </c>
      <c r="D10" s="8"/>
      <c r="E10" s="12"/>
      <c r="F10" s="13">
        <f>C10/C$3</f>
        <v>0.14365624205441138</v>
      </c>
    </row>
    <row r="11" spans="1:6" x14ac:dyDescent="0.25">
      <c r="A11" s="14" t="s">
        <v>85</v>
      </c>
      <c r="B11" s="87">
        <v>205</v>
      </c>
      <c r="C11" s="21"/>
      <c r="D11" s="8"/>
      <c r="E11" s="12"/>
      <c r="F11" s="13">
        <f t="shared" si="0"/>
        <v>8.6871768793965586E-3</v>
      </c>
    </row>
    <row r="12" spans="1:6" x14ac:dyDescent="0.25">
      <c r="A12" s="14" t="s">
        <v>6</v>
      </c>
      <c r="B12" s="127">
        <v>-246</v>
      </c>
      <c r="C12" s="128">
        <f>B11+B12</f>
        <v>-41</v>
      </c>
      <c r="D12" s="8"/>
      <c r="E12" s="12"/>
      <c r="F12" s="13">
        <f>B12/C$3</f>
        <v>-1.0424612255275871E-2</v>
      </c>
    </row>
    <row r="13" spans="1:6" x14ac:dyDescent="0.25">
      <c r="A13" s="10" t="s">
        <v>7</v>
      </c>
      <c r="B13" s="86"/>
      <c r="C13" s="15">
        <f>C10+C12</f>
        <v>3349</v>
      </c>
      <c r="D13" s="8"/>
      <c r="E13" s="12"/>
      <c r="F13" s="13">
        <f>C13/C$3</f>
        <v>0.14191880667853207</v>
      </c>
    </row>
    <row r="14" spans="1:6" ht="17.25" x14ac:dyDescent="0.4">
      <c r="A14" s="14" t="s">
        <v>8</v>
      </c>
      <c r="B14" s="85"/>
      <c r="C14" s="56">
        <v>1139</v>
      </c>
      <c r="D14" s="17">
        <f>C14/C13</f>
        <v>0.34010152284263961</v>
      </c>
      <c r="E14" s="12"/>
      <c r="F14" s="13">
        <f>C14/C$3</f>
        <v>4.8266802271378931E-2</v>
      </c>
    </row>
    <row r="15" spans="1:6" ht="18" thickBot="1" x14ac:dyDescent="0.45">
      <c r="A15" s="22" t="s">
        <v>9</v>
      </c>
      <c r="B15" s="88"/>
      <c r="C15" s="55">
        <f>C13-C14</f>
        <v>2210</v>
      </c>
      <c r="D15" s="8"/>
      <c r="E15" s="18"/>
      <c r="F15" s="19">
        <f>C15/C$3</f>
        <v>9.3652004407153155E-2</v>
      </c>
    </row>
    <row r="16" spans="1:6" x14ac:dyDescent="0.25">
      <c r="A16" s="62" t="s">
        <v>10</v>
      </c>
      <c r="B16" s="5">
        <v>2009</v>
      </c>
      <c r="C16" s="6">
        <v>2008</v>
      </c>
      <c r="D16" s="8"/>
      <c r="E16" s="9">
        <v>2009</v>
      </c>
      <c r="F16" s="7">
        <v>2008</v>
      </c>
    </row>
    <row r="17" spans="1:6" x14ac:dyDescent="0.25">
      <c r="A17" s="24" t="s">
        <v>11</v>
      </c>
      <c r="B17" s="83">
        <v>1011</v>
      </c>
      <c r="C17" s="53">
        <v>1163</v>
      </c>
      <c r="D17" s="8"/>
      <c r="E17" s="25">
        <f>B17/$B$26</f>
        <v>6.4366206150124144E-2</v>
      </c>
      <c r="F17" s="26">
        <f>C17/$C$26</f>
        <v>7.5377535809190488E-2</v>
      </c>
    </row>
    <row r="18" spans="1:6" x14ac:dyDescent="0.25">
      <c r="A18" s="24" t="s">
        <v>12</v>
      </c>
      <c r="B18" s="83">
        <v>1012</v>
      </c>
      <c r="C18" s="53">
        <v>957</v>
      </c>
      <c r="D18" s="8"/>
      <c r="E18" s="25">
        <f>B18/$B$26</f>
        <v>6.4429872031578281E-2</v>
      </c>
      <c r="F18" s="26">
        <f>C18/$C$26</f>
        <v>6.2026054831810229E-2</v>
      </c>
    </row>
    <row r="19" spans="1:6" x14ac:dyDescent="0.25">
      <c r="A19" s="24" t="s">
        <v>13</v>
      </c>
      <c r="B19" s="83">
        <v>3984</v>
      </c>
      <c r="C19" s="53">
        <v>3277</v>
      </c>
      <c r="D19" s="8"/>
      <c r="E19" s="25">
        <f>B19/$B$26</f>
        <v>0.25364487171324884</v>
      </c>
      <c r="F19" s="26">
        <f>C19/$C$26</f>
        <v>0.2123922483634714</v>
      </c>
    </row>
    <row r="20" spans="1:6" x14ac:dyDescent="0.25">
      <c r="A20" s="27" t="s">
        <v>14</v>
      </c>
      <c r="B20" s="83">
        <v>155</v>
      </c>
      <c r="C20" s="53">
        <v>178</v>
      </c>
      <c r="D20" s="8"/>
      <c r="E20" s="25">
        <f>B20/$B$26</f>
        <v>9.8682116253899534E-3</v>
      </c>
      <c r="F20" s="26">
        <f>C20/$C$26</f>
        <v>1.1536716572687795E-2</v>
      </c>
    </row>
    <row r="21" spans="1:6" x14ac:dyDescent="0.25">
      <c r="A21" s="28" t="s">
        <v>15</v>
      </c>
      <c r="B21" s="89">
        <f>SUM(B17:B20)</f>
        <v>6162</v>
      </c>
      <c r="C21" s="15">
        <f>SUM(C17:C20)</f>
        <v>5575</v>
      </c>
      <c r="D21" s="8"/>
      <c r="E21" s="57">
        <f>B21/$B$26</f>
        <v>0.39230916152034123</v>
      </c>
      <c r="F21" s="58">
        <f>C21/$C$26</f>
        <v>0.36133255557715988</v>
      </c>
    </row>
    <row r="22" spans="1:6" x14ac:dyDescent="0.25">
      <c r="A22" s="24" t="s">
        <v>87</v>
      </c>
      <c r="B22" s="87">
        <v>510</v>
      </c>
      <c r="C22" s="90">
        <v>510</v>
      </c>
      <c r="D22" s="8"/>
      <c r="E22" s="25">
        <f t="shared" ref="E22:E23" si="1">B22/$B$26</f>
        <v>3.2469599541605651E-2</v>
      </c>
      <c r="F22" s="26">
        <f t="shared" ref="F22:F23" si="2">C22/$C$26</f>
        <v>3.3054637371184137E-2</v>
      </c>
    </row>
    <row r="23" spans="1:6" x14ac:dyDescent="0.25">
      <c r="A23" s="24" t="s">
        <v>88</v>
      </c>
      <c r="B23" s="87">
        <v>3680</v>
      </c>
      <c r="C23" s="90">
        <v>3680</v>
      </c>
      <c r="D23" s="8"/>
      <c r="E23" s="25">
        <f t="shared" si="1"/>
        <v>0.23429044375119373</v>
      </c>
      <c r="F23" s="26">
        <f t="shared" si="2"/>
        <v>0.23851189318815219</v>
      </c>
    </row>
    <row r="24" spans="1:6" x14ac:dyDescent="0.25">
      <c r="A24" s="24" t="s">
        <v>89</v>
      </c>
      <c r="B24" s="83">
        <v>8798</v>
      </c>
      <c r="C24" s="53">
        <v>8555</v>
      </c>
      <c r="D24" s="8"/>
      <c r="E24" s="25">
        <f>B24/$B$26</f>
        <v>0.56013242503342464</v>
      </c>
      <c r="F24" s="26">
        <f>C24/$C$26</f>
        <v>0.55447533864800047</v>
      </c>
    </row>
    <row r="25" spans="1:6" x14ac:dyDescent="0.25">
      <c r="A25" s="27" t="s">
        <v>16</v>
      </c>
      <c r="B25" s="91">
        <v>-3443</v>
      </c>
      <c r="C25" s="92">
        <v>-2891</v>
      </c>
      <c r="D25" s="8"/>
      <c r="E25" s="25">
        <f>B25/$B$26</f>
        <v>-0.21920162984656522</v>
      </c>
      <c r="F25" s="26">
        <f>C25/$C$26</f>
        <v>-0.18737442478449673</v>
      </c>
    </row>
    <row r="26" spans="1:6" x14ac:dyDescent="0.25">
      <c r="A26" s="29" t="s">
        <v>17</v>
      </c>
      <c r="B26" s="93">
        <f>B21+B22+B23+B24+B25</f>
        <v>15707</v>
      </c>
      <c r="C26" s="94">
        <f>C21+C22+C23+C24+C25</f>
        <v>15429</v>
      </c>
      <c r="D26" s="8"/>
      <c r="E26" s="57">
        <f>B26/$B$26</f>
        <v>1</v>
      </c>
      <c r="F26" s="58">
        <f>C26/$C$26</f>
        <v>1</v>
      </c>
    </row>
    <row r="27" spans="1:6" x14ac:dyDescent="0.25">
      <c r="A27" s="16"/>
      <c r="B27" s="95"/>
      <c r="C27" s="96"/>
      <c r="D27" s="8"/>
      <c r="E27" s="20"/>
      <c r="F27" s="30"/>
    </row>
    <row r="28" spans="1:6" x14ac:dyDescent="0.25">
      <c r="A28" s="24" t="s">
        <v>18</v>
      </c>
      <c r="B28" s="83">
        <v>3588</v>
      </c>
      <c r="C28" s="53">
        <v>3325</v>
      </c>
      <c r="D28" s="8"/>
      <c r="E28" s="25">
        <f t="shared" ref="E28:E39" si="3">B28/$B$39</f>
        <v>0.22843318265741389</v>
      </c>
      <c r="F28" s="26">
        <f t="shared" ref="F28:F39" si="4">C28/$C$39</f>
        <v>0.21550327305722988</v>
      </c>
    </row>
    <row r="29" spans="1:6" x14ac:dyDescent="0.25">
      <c r="A29" s="27" t="s">
        <v>91</v>
      </c>
      <c r="B29" s="83">
        <v>85</v>
      </c>
      <c r="C29" s="53">
        <v>75</v>
      </c>
      <c r="D29" s="8"/>
      <c r="E29" s="25">
        <f t="shared" si="3"/>
        <v>5.4115999236009418E-3</v>
      </c>
      <c r="F29" s="26">
        <f t="shared" si="4"/>
        <v>4.8609760839976668E-3</v>
      </c>
    </row>
    <row r="30" spans="1:6" x14ac:dyDescent="0.25">
      <c r="A30" s="27" t="s">
        <v>92</v>
      </c>
      <c r="B30" s="83">
        <v>62</v>
      </c>
      <c r="C30" s="53">
        <v>74</v>
      </c>
      <c r="D30" s="8"/>
      <c r="E30" s="25">
        <f t="shared" si="3"/>
        <v>3.9472846501559817E-3</v>
      </c>
      <c r="F30" s="26">
        <f t="shared" si="4"/>
        <v>4.7961630695443642E-3</v>
      </c>
    </row>
    <row r="31" spans="1:6" x14ac:dyDescent="0.25">
      <c r="A31" s="27" t="s">
        <v>93</v>
      </c>
      <c r="B31" s="83">
        <v>55</v>
      </c>
      <c r="C31" s="53">
        <v>50</v>
      </c>
      <c r="D31" s="8"/>
      <c r="E31" s="25">
        <f t="shared" si="3"/>
        <v>3.5016234799770804E-3</v>
      </c>
      <c r="F31" s="26">
        <f t="shared" si="4"/>
        <v>3.2406507226651112E-3</v>
      </c>
    </row>
    <row r="32" spans="1:6" x14ac:dyDescent="0.25">
      <c r="A32" s="27" t="s">
        <v>94</v>
      </c>
      <c r="B32" s="83">
        <v>1126</v>
      </c>
      <c r="C32" s="53">
        <v>1104</v>
      </c>
      <c r="D32" s="8"/>
      <c r="E32" s="25">
        <f t="shared" si="3"/>
        <v>7.1687782517348947E-2</v>
      </c>
      <c r="F32" s="26">
        <f t="shared" si="4"/>
        <v>7.1553567956445657E-2</v>
      </c>
    </row>
    <row r="33" spans="1:20" x14ac:dyDescent="0.25">
      <c r="A33" s="28" t="s">
        <v>19</v>
      </c>
      <c r="B33" s="89">
        <f>SUM(B28:B32)</f>
        <v>4916</v>
      </c>
      <c r="C33" s="15">
        <f>SUM(C28:C32)</f>
        <v>4628</v>
      </c>
      <c r="D33" s="8"/>
      <c r="E33" s="25">
        <f t="shared" si="3"/>
        <v>0.31298147322849684</v>
      </c>
      <c r="F33" s="26">
        <f t="shared" si="4"/>
        <v>0.29995463088988267</v>
      </c>
    </row>
    <row r="34" spans="1:20" x14ac:dyDescent="0.25">
      <c r="A34" s="24" t="s">
        <v>20</v>
      </c>
      <c r="B34" s="83">
        <v>3075</v>
      </c>
      <c r="C34" s="53">
        <v>3575</v>
      </c>
      <c r="D34" s="8"/>
      <c r="E34" s="25">
        <f t="shared" si="3"/>
        <v>0.19577258547144585</v>
      </c>
      <c r="F34" s="26">
        <f t="shared" si="4"/>
        <v>0.23170652667055544</v>
      </c>
    </row>
    <row r="35" spans="1:20" x14ac:dyDescent="0.25">
      <c r="A35" s="28" t="s">
        <v>21</v>
      </c>
      <c r="B35" s="89">
        <f>SUM(B33:B34)</f>
        <v>7991</v>
      </c>
      <c r="C35" s="15">
        <f>SUM(C33:C34)</f>
        <v>8203</v>
      </c>
      <c r="D35" s="8"/>
      <c r="E35" s="25">
        <f t="shared" si="3"/>
        <v>0.50875405869994272</v>
      </c>
      <c r="F35" s="26">
        <f t="shared" si="4"/>
        <v>0.53166115756043819</v>
      </c>
    </row>
    <row r="36" spans="1:20" x14ac:dyDescent="0.25">
      <c r="A36" s="31" t="s">
        <v>23</v>
      </c>
      <c r="B36" s="97">
        <v>3750</v>
      </c>
      <c r="C36" s="98">
        <v>4350</v>
      </c>
      <c r="D36" s="32"/>
      <c r="E36" s="25">
        <f t="shared" si="3"/>
        <v>0.23874705545298275</v>
      </c>
      <c r="F36" s="26">
        <f t="shared" si="4"/>
        <v>0.28193661287186467</v>
      </c>
    </row>
    <row r="37" spans="1:20" x14ac:dyDescent="0.25">
      <c r="A37" s="31" t="s">
        <v>25</v>
      </c>
      <c r="B37" s="97">
        <v>3966</v>
      </c>
      <c r="C37" s="98">
        <v>2876</v>
      </c>
      <c r="D37" s="32"/>
      <c r="E37" s="25">
        <f t="shared" si="3"/>
        <v>0.25249888584707453</v>
      </c>
      <c r="F37" s="26">
        <f t="shared" si="4"/>
        <v>0.1864022295676972</v>
      </c>
    </row>
    <row r="38" spans="1:20" x14ac:dyDescent="0.25">
      <c r="A38" s="28" t="s">
        <v>26</v>
      </c>
      <c r="B38" s="89">
        <f>SUM(B36:B37)</f>
        <v>7716</v>
      </c>
      <c r="C38" s="15">
        <f>SUM(C36:C37)</f>
        <v>7226</v>
      </c>
      <c r="D38" s="32"/>
      <c r="E38" s="25">
        <f t="shared" si="3"/>
        <v>0.49124594130005728</v>
      </c>
      <c r="F38" s="26">
        <f t="shared" si="4"/>
        <v>0.46833884243956186</v>
      </c>
    </row>
    <row r="39" spans="1:20" ht="15.75" thickBot="1" x14ac:dyDescent="0.3">
      <c r="A39" s="34" t="s">
        <v>27</v>
      </c>
      <c r="B39" s="99">
        <f>B35+B38</f>
        <v>15707</v>
      </c>
      <c r="C39" s="100">
        <f>C35+C38</f>
        <v>15429</v>
      </c>
      <c r="D39" s="23"/>
      <c r="E39" s="59">
        <f t="shared" si="3"/>
        <v>1</v>
      </c>
      <c r="F39" s="60">
        <f t="shared" si="4"/>
        <v>1</v>
      </c>
    </row>
    <row r="40" spans="1:20" x14ac:dyDescent="0.25">
      <c r="A40" s="35" t="s">
        <v>28</v>
      </c>
      <c r="B40" s="39">
        <v>2009</v>
      </c>
      <c r="C40" s="141" t="s">
        <v>127</v>
      </c>
    </row>
    <row r="41" spans="1:20" ht="15.75" x14ac:dyDescent="0.25">
      <c r="A41" s="109" t="s">
        <v>9</v>
      </c>
      <c r="B41" s="117">
        <f>C15</f>
        <v>2210</v>
      </c>
      <c r="C41" s="78" t="s">
        <v>120</v>
      </c>
      <c r="H41" s="61" t="s">
        <v>104</v>
      </c>
    </row>
    <row r="42" spans="1:20" ht="15.75" x14ac:dyDescent="0.25">
      <c r="A42" s="109" t="s">
        <v>111</v>
      </c>
      <c r="B42" s="117">
        <f>B7</f>
        <v>1052</v>
      </c>
      <c r="C42" s="78" t="s">
        <v>113</v>
      </c>
      <c r="H42" s="61"/>
    </row>
    <row r="43" spans="1:20" ht="15.75" x14ac:dyDescent="0.25">
      <c r="A43" s="109" t="s">
        <v>112</v>
      </c>
      <c r="B43" s="118">
        <f>-B11</f>
        <v>-205</v>
      </c>
      <c r="C43" s="78" t="s">
        <v>113</v>
      </c>
      <c r="H43" s="61"/>
    </row>
    <row r="44" spans="1:20" ht="15.75" thickBot="1" x14ac:dyDescent="0.3">
      <c r="A44" s="28" t="s">
        <v>29</v>
      </c>
      <c r="B44" s="119">
        <f>C18-B18</f>
        <v>-55</v>
      </c>
      <c r="C44" s="78"/>
    </row>
    <row r="45" spans="1:20" ht="15.75" thickBot="1" x14ac:dyDescent="0.3">
      <c r="A45" s="28" t="s">
        <v>30</v>
      </c>
      <c r="B45" s="119">
        <f>C19-B19</f>
        <v>-707</v>
      </c>
      <c r="C45" s="78"/>
      <c r="H45" s="279" t="s">
        <v>109</v>
      </c>
      <c r="I45" s="261"/>
      <c r="J45" s="261"/>
      <c r="K45" s="261"/>
      <c r="L45" s="261"/>
      <c r="M45" s="262"/>
      <c r="O45" s="279" t="s">
        <v>110</v>
      </c>
      <c r="P45" s="261"/>
      <c r="Q45" s="261"/>
      <c r="R45" s="261"/>
      <c r="S45" s="261"/>
      <c r="T45" s="262"/>
    </row>
    <row r="46" spans="1:20" ht="15.75" thickBot="1" x14ac:dyDescent="0.3">
      <c r="A46" s="28" t="s">
        <v>31</v>
      </c>
      <c r="B46" s="119">
        <f>C20-B20</f>
        <v>23</v>
      </c>
      <c r="C46" s="78"/>
      <c r="H46" s="260" t="s">
        <v>105</v>
      </c>
      <c r="I46" s="260"/>
      <c r="J46" s="260"/>
      <c r="K46" s="260" t="s">
        <v>106</v>
      </c>
      <c r="L46" s="260"/>
      <c r="M46" s="260"/>
      <c r="O46" s="260" t="s">
        <v>105</v>
      </c>
      <c r="P46" s="260"/>
      <c r="Q46" s="260"/>
      <c r="R46" s="260" t="s">
        <v>106</v>
      </c>
      <c r="S46" s="260"/>
      <c r="T46" s="260"/>
    </row>
    <row r="47" spans="1:20" x14ac:dyDescent="0.25">
      <c r="A47" s="28" t="s">
        <v>95</v>
      </c>
      <c r="B47" s="119">
        <f>C22-B22</f>
        <v>0</v>
      </c>
      <c r="C47" s="79"/>
      <c r="H47" s="65" t="s">
        <v>107</v>
      </c>
      <c r="I47" s="66"/>
      <c r="J47" s="67" t="s">
        <v>108</v>
      </c>
      <c r="K47" s="65" t="s">
        <v>107</v>
      </c>
      <c r="L47" s="66"/>
      <c r="M47" s="68" t="s">
        <v>108</v>
      </c>
      <c r="N47" s="69"/>
      <c r="O47" s="65" t="s">
        <v>107</v>
      </c>
      <c r="P47" s="66"/>
      <c r="Q47" s="67" t="s">
        <v>108</v>
      </c>
      <c r="R47" s="65" t="s">
        <v>107</v>
      </c>
      <c r="S47" s="66"/>
      <c r="T47" s="68" t="s">
        <v>108</v>
      </c>
    </row>
    <row r="48" spans="1:20" ht="15.75" thickBot="1" x14ac:dyDescent="0.3">
      <c r="A48" s="28" t="s">
        <v>96</v>
      </c>
      <c r="B48" s="119">
        <f>C23-B23</f>
        <v>0</v>
      </c>
      <c r="C48" s="79"/>
      <c r="H48" s="70" t="s">
        <v>117</v>
      </c>
      <c r="I48" s="71" t="s">
        <v>115</v>
      </c>
      <c r="J48" s="146">
        <v>8555</v>
      </c>
      <c r="K48" s="70"/>
      <c r="L48" s="71"/>
      <c r="M48" s="73"/>
      <c r="O48" s="70"/>
      <c r="P48" s="111"/>
      <c r="Q48" s="112"/>
      <c r="R48" s="110">
        <v>2891</v>
      </c>
      <c r="S48" s="71" t="s">
        <v>117</v>
      </c>
      <c r="T48" s="73"/>
    </row>
    <row r="49" spans="1:20" ht="15.75" thickBot="1" x14ac:dyDescent="0.3">
      <c r="A49" s="45" t="s">
        <v>32</v>
      </c>
      <c r="B49" s="120"/>
      <c r="C49" s="115">
        <f>C24-B24</f>
        <v>-243</v>
      </c>
      <c r="H49" s="70" t="s">
        <v>117</v>
      </c>
      <c r="I49" s="71" t="s">
        <v>116</v>
      </c>
      <c r="J49" s="146">
        <v>1300</v>
      </c>
      <c r="K49" s="145">
        <f>J48+J49-J50</f>
        <v>1057</v>
      </c>
      <c r="L49" s="71"/>
      <c r="M49" s="73"/>
      <c r="O49" s="70" t="s">
        <v>123</v>
      </c>
      <c r="P49" s="111"/>
      <c r="Q49" s="148">
        <f>R48+R49-R50</f>
        <v>500</v>
      </c>
      <c r="R49" s="110">
        <v>1052</v>
      </c>
      <c r="S49" s="71" t="s">
        <v>117</v>
      </c>
      <c r="T49" s="73"/>
    </row>
    <row r="50" spans="1:20" ht="15.75" thickBot="1" x14ac:dyDescent="0.3">
      <c r="A50" s="38" t="s">
        <v>97</v>
      </c>
      <c r="B50" s="136"/>
      <c r="C50" s="116">
        <f>C25-B25</f>
        <v>552</v>
      </c>
      <c r="H50" s="74" t="s">
        <v>117</v>
      </c>
      <c r="I50" s="75" t="str">
        <f>IF(SUM(J48:J54)&gt;=SUM(M48:M54),"Bal","")</f>
        <v>Bal</v>
      </c>
      <c r="J50" s="142">
        <v>8798</v>
      </c>
      <c r="K50" s="74"/>
      <c r="L50" s="75" t="str">
        <f>IF(SUM(M48:M54)&gt;SUM(J48:J54),"Bal","")</f>
        <v/>
      </c>
      <c r="M50" s="76"/>
      <c r="O50" s="74"/>
      <c r="P50" s="75"/>
      <c r="Q50" s="76"/>
      <c r="R50" s="147">
        <v>3443</v>
      </c>
      <c r="S50" s="75" t="s">
        <v>117</v>
      </c>
      <c r="T50" s="76"/>
    </row>
    <row r="51" spans="1:20" ht="15.75" x14ac:dyDescent="0.25">
      <c r="A51" s="45" t="s">
        <v>118</v>
      </c>
      <c r="B51" s="137">
        <f>-J49</f>
        <v>-1300</v>
      </c>
      <c r="C51" s="134" t="s">
        <v>121</v>
      </c>
      <c r="D51" s="61" t="s">
        <v>114</v>
      </c>
      <c r="H51" s="70"/>
      <c r="I51" s="111"/>
      <c r="J51" s="143"/>
      <c r="K51" s="143"/>
      <c r="L51" s="71"/>
      <c r="M51" s="73"/>
      <c r="O51" s="70"/>
      <c r="P51" s="111"/>
      <c r="Q51" s="143"/>
      <c r="R51" s="143"/>
      <c r="S51" s="71"/>
      <c r="T51" s="73"/>
    </row>
    <row r="52" spans="1:20" ht="15.75" thickBot="1" x14ac:dyDescent="0.3">
      <c r="A52" s="38" t="s">
        <v>119</v>
      </c>
      <c r="B52" s="133">
        <f>Q54</f>
        <v>762</v>
      </c>
      <c r="C52" s="135" t="s">
        <v>122</v>
      </c>
      <c r="H52" s="70"/>
      <c r="I52" s="111"/>
      <c r="J52" s="143"/>
      <c r="K52" s="143"/>
      <c r="L52" s="71"/>
      <c r="M52" s="73"/>
      <c r="O52" s="70"/>
      <c r="P52" t="s">
        <v>124</v>
      </c>
      <c r="Q52" s="129">
        <f>K49-Q49</f>
        <v>557</v>
      </c>
      <c r="R52" s="143"/>
      <c r="S52" s="71"/>
      <c r="T52" s="73"/>
    </row>
    <row r="53" spans="1:20" ht="17.25" x14ac:dyDescent="0.4">
      <c r="A53" s="28" t="s">
        <v>98</v>
      </c>
      <c r="B53" s="119">
        <f>B28-C28</f>
        <v>263</v>
      </c>
      <c r="C53" s="78"/>
      <c r="H53" s="70"/>
      <c r="I53" s="111"/>
      <c r="J53" s="143"/>
      <c r="K53" s="143"/>
      <c r="L53" s="71"/>
      <c r="M53" s="73"/>
      <c r="O53" s="70"/>
      <c r="P53" t="s">
        <v>125</v>
      </c>
      <c r="Q53" s="130">
        <f>B11</f>
        <v>205</v>
      </c>
      <c r="R53" s="143"/>
      <c r="S53" s="71"/>
      <c r="T53" s="73"/>
    </row>
    <row r="54" spans="1:20" x14ac:dyDescent="0.25">
      <c r="A54" s="28" t="s">
        <v>99</v>
      </c>
      <c r="B54" s="119">
        <f>B29-C29</f>
        <v>10</v>
      </c>
      <c r="C54" s="78"/>
      <c r="H54" s="70"/>
      <c r="I54" s="111"/>
      <c r="J54" s="143"/>
      <c r="K54" s="143"/>
      <c r="L54" s="71"/>
      <c r="M54" s="73"/>
      <c r="O54" s="70"/>
      <c r="P54" t="s">
        <v>11</v>
      </c>
      <c r="Q54" s="140">
        <f>SUM(Q52:Q53)</f>
        <v>762</v>
      </c>
      <c r="R54" s="143"/>
      <c r="S54" s="71"/>
      <c r="T54" s="73"/>
    </row>
    <row r="55" spans="1:20" x14ac:dyDescent="0.25">
      <c r="A55" s="28" t="s">
        <v>100</v>
      </c>
      <c r="B55" s="119">
        <f>B30-C30</f>
        <v>-12</v>
      </c>
      <c r="C55" s="78"/>
      <c r="J55" s="33"/>
      <c r="K55" s="33"/>
    </row>
    <row r="56" spans="1:20" x14ac:dyDescent="0.25">
      <c r="A56" s="28" t="s">
        <v>101</v>
      </c>
      <c r="B56" s="119">
        <f>B31-C31</f>
        <v>5</v>
      </c>
      <c r="C56" s="78"/>
    </row>
    <row r="57" spans="1:20" x14ac:dyDescent="0.25">
      <c r="A57" s="28" t="s">
        <v>102</v>
      </c>
      <c r="B57" s="119">
        <f>B32-C32</f>
        <v>22</v>
      </c>
      <c r="C57" s="78"/>
    </row>
    <row r="58" spans="1:20" x14ac:dyDescent="0.25">
      <c r="A58" s="28" t="s">
        <v>103</v>
      </c>
      <c r="B58" s="119">
        <f>B34-C34</f>
        <v>-500</v>
      </c>
      <c r="C58" s="80"/>
    </row>
    <row r="59" spans="1:20" x14ac:dyDescent="0.25">
      <c r="A59" s="28" t="s">
        <v>33</v>
      </c>
      <c r="B59" s="122">
        <f>B36-C36</f>
        <v>-600</v>
      </c>
      <c r="C59" s="80"/>
    </row>
    <row r="60" spans="1:20" x14ac:dyDescent="0.25">
      <c r="A60" s="28" t="s">
        <v>34</v>
      </c>
      <c r="B60" s="117">
        <f>SUM(B41:B59)</f>
        <v>968</v>
      </c>
      <c r="C60" s="81"/>
    </row>
    <row r="61" spans="1:20" ht="17.25" x14ac:dyDescent="0.4">
      <c r="A61" s="28" t="s">
        <v>35</v>
      </c>
      <c r="B61" s="121">
        <f>C17</f>
        <v>1163</v>
      </c>
      <c r="C61" s="81"/>
    </row>
    <row r="62" spans="1:20" x14ac:dyDescent="0.25">
      <c r="A62" s="28" t="s">
        <v>11</v>
      </c>
      <c r="B62" s="119">
        <f>B60+B61</f>
        <v>2131</v>
      </c>
      <c r="C62" s="81"/>
    </row>
    <row r="63" spans="1:20" x14ac:dyDescent="0.25">
      <c r="A63" s="28" t="s">
        <v>36</v>
      </c>
      <c r="B63" s="122">
        <f>B37-(C15+C37)</f>
        <v>-1120</v>
      </c>
      <c r="C63" s="80" t="s">
        <v>126</v>
      </c>
      <c r="F63" s="37"/>
    </row>
    <row r="64" spans="1:20" x14ac:dyDescent="0.25">
      <c r="A64" s="28" t="s">
        <v>37</v>
      </c>
      <c r="B64" s="123">
        <f>SUM(B62:B63)</f>
        <v>1011</v>
      </c>
      <c r="C64" s="81"/>
      <c r="F64" s="37"/>
    </row>
    <row r="65" spans="1:6" x14ac:dyDescent="0.25">
      <c r="A65" s="16"/>
      <c r="B65" s="119"/>
      <c r="C65" s="81"/>
    </row>
    <row r="66" spans="1:6" x14ac:dyDescent="0.25">
      <c r="A66" s="28" t="s">
        <v>38</v>
      </c>
      <c r="B66" s="124">
        <f>B41+B42+B43+B44+B45+B46+B53+B54+B55+B56+B57</f>
        <v>2606</v>
      </c>
      <c r="C66" s="81"/>
      <c r="E66" s="37"/>
      <c r="F66" s="37"/>
    </row>
    <row r="67" spans="1:6" x14ac:dyDescent="0.25">
      <c r="A67" s="28" t="s">
        <v>39</v>
      </c>
      <c r="B67" s="132">
        <f>B51+B52</f>
        <v>-538</v>
      </c>
      <c r="C67" s="81"/>
      <c r="F67" s="37"/>
    </row>
    <row r="68" spans="1:6" x14ac:dyDescent="0.25">
      <c r="A68" s="28" t="s">
        <v>40</v>
      </c>
      <c r="B68" s="125">
        <f>B58+B59+B63</f>
        <v>-2220</v>
      </c>
      <c r="C68" s="81"/>
      <c r="D68" s="105"/>
    </row>
    <row r="69" spans="1:6" ht="15.75" thickBot="1" x14ac:dyDescent="0.3">
      <c r="A69" s="38" t="s">
        <v>34</v>
      </c>
      <c r="B69" s="126">
        <f>SUM(B66:B68)</f>
        <v>-152</v>
      </c>
      <c r="C69" s="82"/>
      <c r="D69" s="106"/>
    </row>
    <row r="70" spans="1:6" ht="15.75" hidden="1" thickBot="1" x14ac:dyDescent="0.3">
      <c r="A70" s="16"/>
      <c r="B70" s="33"/>
      <c r="C70" s="33"/>
      <c r="D70" s="106"/>
    </row>
    <row r="71" spans="1:6" ht="15.75" hidden="1" thickBot="1" x14ac:dyDescent="0.3">
      <c r="A71" s="28" t="s">
        <v>41</v>
      </c>
      <c r="B71" s="33"/>
      <c r="C71" s="36">
        <f>C17-B17</f>
        <v>152</v>
      </c>
      <c r="D71" s="106"/>
    </row>
    <row r="72" spans="1:6" ht="15.75" hidden="1" thickBot="1" x14ac:dyDescent="0.3">
      <c r="A72" s="16"/>
      <c r="B72" s="33"/>
      <c r="C72" s="36">
        <f>B69-C71</f>
        <v>-304</v>
      </c>
      <c r="D72" s="106"/>
    </row>
    <row r="73" spans="1:6" x14ac:dyDescent="0.25">
      <c r="A73" s="35" t="s">
        <v>42</v>
      </c>
      <c r="B73" s="39">
        <v>2009</v>
      </c>
      <c r="C73" s="267" t="s">
        <v>43</v>
      </c>
      <c r="D73" s="106"/>
    </row>
    <row r="74" spans="1:6" x14ac:dyDescent="0.25">
      <c r="A74" s="10" t="s">
        <v>44</v>
      </c>
      <c r="B74" s="40">
        <f>C5/C3</f>
        <v>0.51453513009577079</v>
      </c>
      <c r="C74" s="268"/>
      <c r="D74" s="106"/>
    </row>
    <row r="75" spans="1:6" x14ac:dyDescent="0.25">
      <c r="A75" s="10" t="s">
        <v>45</v>
      </c>
      <c r="B75" s="40">
        <f>C10/C3</f>
        <v>0.14365624205441138</v>
      </c>
      <c r="C75" s="268"/>
      <c r="D75" s="106"/>
    </row>
    <row r="76" spans="1:6" x14ac:dyDescent="0.25">
      <c r="A76" s="10" t="s">
        <v>46</v>
      </c>
      <c r="B76" s="40">
        <f>C13/C3</f>
        <v>0.14191880667853207</v>
      </c>
      <c r="C76" s="268"/>
      <c r="D76" s="106"/>
    </row>
    <row r="77" spans="1:6" x14ac:dyDescent="0.25">
      <c r="A77" s="10" t="s">
        <v>47</v>
      </c>
      <c r="B77" s="40">
        <f>C15/C3</f>
        <v>9.3652004407153155E-2</v>
      </c>
      <c r="C77" s="268"/>
      <c r="D77" s="106"/>
    </row>
    <row r="78" spans="1:6" x14ac:dyDescent="0.25">
      <c r="A78" s="10" t="s">
        <v>48</v>
      </c>
      <c r="B78" s="40">
        <f>C15/((B26+C26)/2)</f>
        <v>0.14195786228160329</v>
      </c>
      <c r="C78" s="268"/>
      <c r="D78" s="106"/>
    </row>
    <row r="79" spans="1:6" ht="30" x14ac:dyDescent="0.25">
      <c r="A79" s="41" t="s">
        <v>49</v>
      </c>
      <c r="B79" s="42"/>
      <c r="C79" s="268"/>
      <c r="D79" s="106"/>
    </row>
    <row r="80" spans="1:6" ht="15.75" thickBot="1" x14ac:dyDescent="0.3">
      <c r="A80" s="22" t="s">
        <v>50</v>
      </c>
      <c r="B80" s="43">
        <f>C15/((C38+B38)/2)</f>
        <v>0.29581046713960646</v>
      </c>
      <c r="C80" s="268"/>
      <c r="D80" s="106"/>
    </row>
    <row r="81" spans="1:4" ht="15.75" thickBot="1" x14ac:dyDescent="0.3">
      <c r="A81" s="22" t="s">
        <v>51</v>
      </c>
      <c r="B81" s="43">
        <f>C15/C3*C3/((C26+B26)/2)*((C26+B26)/2)/((C38+B38)/2)</f>
        <v>0.29581046713960646</v>
      </c>
      <c r="C81" s="269"/>
      <c r="D81" s="106"/>
    </row>
    <row r="82" spans="1:4" ht="45.75" thickBot="1" x14ac:dyDescent="0.3">
      <c r="A82" s="41" t="s">
        <v>52</v>
      </c>
      <c r="B82" s="101">
        <f>C15/C13*C13/C10*C10/C3*C3/((B26+C26)/2)*((B26+C26)/2)/((B38+C38)/2)</f>
        <v>0.29581046713960646</v>
      </c>
      <c r="C82" s="107"/>
      <c r="D82" s="44"/>
    </row>
    <row r="83" spans="1:4" x14ac:dyDescent="0.25">
      <c r="A83" s="45" t="s">
        <v>53</v>
      </c>
      <c r="B83" s="46">
        <f>C21/C33</f>
        <v>1.2046240276577356</v>
      </c>
      <c r="C83" s="270" t="s">
        <v>54</v>
      </c>
    </row>
    <row r="84" spans="1:4" x14ac:dyDescent="0.25">
      <c r="A84" s="10" t="s">
        <v>55</v>
      </c>
      <c r="B84" s="11">
        <f>(C21-C19)/C33</f>
        <v>0.49654278305963701</v>
      </c>
      <c r="C84" s="271"/>
    </row>
    <row r="85" spans="1:4" x14ac:dyDescent="0.25">
      <c r="A85" s="10" t="s">
        <v>56</v>
      </c>
      <c r="B85" s="11"/>
      <c r="C85" s="271"/>
    </row>
    <row r="86" spans="1:4" x14ac:dyDescent="0.25">
      <c r="A86" s="10" t="s">
        <v>57</v>
      </c>
      <c r="B86" s="47"/>
      <c r="C86" s="271"/>
    </row>
    <row r="87" spans="1:4" ht="15.75" thickBot="1" x14ac:dyDescent="0.3">
      <c r="A87" s="10" t="s">
        <v>58</v>
      </c>
      <c r="B87" s="11">
        <f>B91+B89-B93</f>
        <v>20.771487431351289</v>
      </c>
      <c r="C87" s="272"/>
    </row>
    <row r="88" spans="1:4" x14ac:dyDescent="0.25">
      <c r="A88" s="1" t="s">
        <v>59</v>
      </c>
      <c r="B88" s="48">
        <f>C3/((C18+B18)/2)</f>
        <v>23.969527679024885</v>
      </c>
      <c r="C88" s="273" t="s">
        <v>60</v>
      </c>
    </row>
    <row r="89" spans="1:4" x14ac:dyDescent="0.25">
      <c r="A89" s="10" t="s">
        <v>61</v>
      </c>
      <c r="B89" s="49">
        <f>365/B88</f>
        <v>15.227667598949063</v>
      </c>
      <c r="C89" s="274"/>
    </row>
    <row r="90" spans="1:4" x14ac:dyDescent="0.25">
      <c r="A90" s="10" t="s">
        <v>62</v>
      </c>
      <c r="B90" s="50">
        <f>C4/((C19+B19)/2)</f>
        <v>3.1554882247624296</v>
      </c>
      <c r="C90" s="274"/>
    </row>
    <row r="91" spans="1:4" x14ac:dyDescent="0.25">
      <c r="A91" s="10" t="s">
        <v>63</v>
      </c>
      <c r="B91" s="51">
        <f>365/B90</f>
        <v>115.67148219273743</v>
      </c>
      <c r="C91" s="274"/>
    </row>
    <row r="92" spans="1:4" x14ac:dyDescent="0.25">
      <c r="A92" s="10" t="s">
        <v>64</v>
      </c>
      <c r="B92" s="51">
        <f>C4/((C28+B28)/2)</f>
        <v>3.3143353102849704</v>
      </c>
      <c r="C92" s="274"/>
    </row>
    <row r="93" spans="1:4" x14ac:dyDescent="0.25">
      <c r="A93" s="10" t="s">
        <v>65</v>
      </c>
      <c r="B93" s="51">
        <f>365/B92</f>
        <v>110.12766236033519</v>
      </c>
      <c r="C93" s="274"/>
    </row>
    <row r="94" spans="1:4" x14ac:dyDescent="0.25">
      <c r="A94" s="10" t="s">
        <v>66</v>
      </c>
      <c r="B94" s="51">
        <f>C3/(B105+C105)/2</f>
        <v>5.3803009575923388</v>
      </c>
      <c r="C94" s="274"/>
    </row>
    <row r="95" spans="1:4" x14ac:dyDescent="0.25">
      <c r="A95" s="10" t="s">
        <v>67</v>
      </c>
      <c r="B95" s="51">
        <f>C3/((B24+B25)+(C24+C25))/2</f>
        <v>1.070786822760686</v>
      </c>
      <c r="C95" s="274"/>
    </row>
    <row r="96" spans="1:4" ht="15.75" thickBot="1" x14ac:dyDescent="0.3">
      <c r="A96" s="10" t="s">
        <v>68</v>
      </c>
      <c r="B96" s="11">
        <f>C3/(B26+C26)/2</f>
        <v>0.37895041109969169</v>
      </c>
      <c r="C96" s="275"/>
    </row>
    <row r="97" spans="1:3" x14ac:dyDescent="0.25">
      <c r="A97" s="1" t="s">
        <v>69</v>
      </c>
      <c r="B97" s="138"/>
      <c r="C97" s="276" t="s">
        <v>70</v>
      </c>
    </row>
    <row r="98" spans="1:3" x14ac:dyDescent="0.25">
      <c r="A98" s="10" t="s">
        <v>71</v>
      </c>
      <c r="B98" s="40"/>
      <c r="C98" s="277"/>
    </row>
    <row r="99" spans="1:3" x14ac:dyDescent="0.25">
      <c r="A99" s="10" t="s">
        <v>72</v>
      </c>
      <c r="B99" s="40"/>
      <c r="C99" s="277"/>
    </row>
    <row r="100" spans="1:3" ht="15.75" thickBot="1" x14ac:dyDescent="0.3">
      <c r="A100" s="10" t="s">
        <v>73</v>
      </c>
      <c r="B100" s="131">
        <f>C10/B12</f>
        <v>-13.780487804878049</v>
      </c>
      <c r="C100" s="278"/>
    </row>
    <row r="101" spans="1:3" ht="15.75" thickBot="1" x14ac:dyDescent="0.3">
      <c r="A101" s="52" t="s">
        <v>74</v>
      </c>
      <c r="B101" s="104">
        <f>((B26+C26)/2)/((B38+C38)/2)</f>
        <v>2.0837906572078704</v>
      </c>
      <c r="C101" s="108"/>
    </row>
    <row r="102" spans="1:3" x14ac:dyDescent="0.25">
      <c r="A102" s="10" t="s">
        <v>75</v>
      </c>
      <c r="B102" s="77"/>
      <c r="C102" s="139"/>
    </row>
    <row r="103" spans="1:3" x14ac:dyDescent="0.25">
      <c r="A103" s="28" t="s">
        <v>76</v>
      </c>
      <c r="B103" s="102">
        <f>B21</f>
        <v>6162</v>
      </c>
      <c r="C103" s="102">
        <f>C21</f>
        <v>5575</v>
      </c>
    </row>
    <row r="104" spans="1:3" x14ac:dyDescent="0.25">
      <c r="A104" s="28" t="s">
        <v>77</v>
      </c>
      <c r="B104" s="102">
        <f>B33</f>
        <v>4916</v>
      </c>
      <c r="C104" s="102">
        <f>C33</f>
        <v>4628</v>
      </c>
    </row>
    <row r="105" spans="1:3" x14ac:dyDescent="0.25">
      <c r="A105" s="28" t="s">
        <v>78</v>
      </c>
      <c r="B105" s="102">
        <f>B103-B104</f>
        <v>1246</v>
      </c>
      <c r="C105" s="102">
        <f>C103-C104</f>
        <v>947</v>
      </c>
    </row>
    <row r="106" spans="1:3" x14ac:dyDescent="0.25">
      <c r="A106" s="28" t="s">
        <v>79</v>
      </c>
      <c r="B106" s="102">
        <f>B34</f>
        <v>3075</v>
      </c>
      <c r="C106" s="102">
        <f>C34</f>
        <v>3575</v>
      </c>
    </row>
    <row r="107" spans="1:3" x14ac:dyDescent="0.25">
      <c r="A107" s="28" t="s">
        <v>80</v>
      </c>
      <c r="B107" s="102">
        <f>B36+B37</f>
        <v>7716</v>
      </c>
      <c r="C107" s="102">
        <f>C36+C37</f>
        <v>7226</v>
      </c>
    </row>
    <row r="108" spans="1:3" ht="15.75" thickBot="1" x14ac:dyDescent="0.3">
      <c r="A108" s="38" t="s">
        <v>81</v>
      </c>
      <c r="B108" s="103">
        <f>B106+B107</f>
        <v>10791</v>
      </c>
      <c r="C108" s="103">
        <f>C106+C107</f>
        <v>10801</v>
      </c>
    </row>
  </sheetData>
  <mergeCells count="12">
    <mergeCell ref="C97:C100"/>
    <mergeCell ref="H45:M45"/>
    <mergeCell ref="O45:T45"/>
    <mergeCell ref="H46:J46"/>
    <mergeCell ref="K46:M46"/>
    <mergeCell ref="O46:Q46"/>
    <mergeCell ref="R46:T46"/>
    <mergeCell ref="B2:C2"/>
    <mergeCell ref="E1:F1"/>
    <mergeCell ref="C73:C81"/>
    <mergeCell ref="C83:C87"/>
    <mergeCell ref="C88:C9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  <headerFooter>
    <oddHeader xml:space="preserve">&amp;CPage 90 &amp; 91
</oddHeader>
    <oddFooter>&amp;CPrepared by Ted Stephenson, CFA, CMA, MBA</oddFooter>
  </headerFooter>
  <ignoredErrors>
    <ignoredError sqref="B21:C21" formulaRange="1"/>
    <ignoredError sqref="B90 B9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B1" workbookViewId="0">
      <selection activeCell="B1" sqref="B1"/>
    </sheetView>
  </sheetViews>
  <sheetFormatPr defaultRowHeight="15" x14ac:dyDescent="0.25"/>
  <cols>
    <col min="1" max="1" width="70.28515625" customWidth="1"/>
    <col min="2" max="2" width="11.5703125" bestFit="1" customWidth="1"/>
    <col min="3" max="3" width="12.5703125" bestFit="1" customWidth="1"/>
    <col min="4" max="4" width="7.140625" bestFit="1" customWidth="1"/>
    <col min="5" max="5" width="13" customWidth="1"/>
    <col min="7" max="7" width="2.42578125" customWidth="1"/>
    <col min="9" max="9" width="14.28515625" bestFit="1" customWidth="1"/>
    <col min="10" max="10" width="23.85546875" customWidth="1"/>
    <col min="11" max="11" width="2.85546875" customWidth="1"/>
    <col min="17" max="17" width="3.140625" customWidth="1"/>
    <col min="19" max="19" width="11.5703125" bestFit="1" customWidth="1"/>
    <col min="20" max="20" width="11.42578125" bestFit="1" customWidth="1"/>
  </cols>
  <sheetData>
    <row r="1" spans="1:20" ht="30" customHeight="1" thickBot="1" x14ac:dyDescent="0.3">
      <c r="A1" s="287" t="s">
        <v>198</v>
      </c>
    </row>
    <row r="2" spans="1:20" ht="15.75" thickBot="1" x14ac:dyDescent="0.3">
      <c r="A2" s="287"/>
      <c r="B2" s="284" t="s">
        <v>199</v>
      </c>
      <c r="C2" s="285"/>
      <c r="D2" s="285"/>
      <c r="E2" s="285"/>
      <c r="F2" s="286"/>
      <c r="G2" s="2"/>
      <c r="H2" s="2"/>
      <c r="I2" s="2"/>
      <c r="J2" s="3"/>
      <c r="L2" s="284" t="s">
        <v>201</v>
      </c>
      <c r="M2" s="285"/>
      <c r="N2" s="285"/>
      <c r="O2" s="285"/>
      <c r="P2" s="286"/>
      <c r="Q2" s="2"/>
      <c r="R2" s="2"/>
      <c r="S2" s="2"/>
      <c r="T2" s="3"/>
    </row>
    <row r="3" spans="1:20" ht="15.75" thickBot="1" x14ac:dyDescent="0.3">
      <c r="A3" s="287"/>
      <c r="B3" s="280" t="s">
        <v>194</v>
      </c>
      <c r="C3" s="281"/>
      <c r="D3" s="281"/>
      <c r="E3" s="281"/>
      <c r="F3" s="282"/>
      <c r="G3" s="33"/>
      <c r="H3" s="279" t="s">
        <v>195</v>
      </c>
      <c r="I3" s="261"/>
      <c r="J3" s="262"/>
      <c r="L3" s="280" t="s">
        <v>194</v>
      </c>
      <c r="M3" s="281"/>
      <c r="N3" s="281"/>
      <c r="O3" s="281"/>
      <c r="P3" s="282"/>
      <c r="Q3" s="33"/>
      <c r="R3" s="279" t="s">
        <v>195</v>
      </c>
      <c r="S3" s="261"/>
      <c r="T3" s="262"/>
    </row>
    <row r="4" spans="1:20" ht="15.75" thickBot="1" x14ac:dyDescent="0.3">
      <c r="A4" s="287"/>
      <c r="B4" s="283" t="s">
        <v>105</v>
      </c>
      <c r="C4" s="260"/>
      <c r="D4" s="260"/>
      <c r="E4" s="179"/>
      <c r="F4" s="179"/>
      <c r="G4" s="33"/>
      <c r="H4" s="260" t="s">
        <v>105</v>
      </c>
      <c r="I4" s="260"/>
      <c r="J4" s="196"/>
      <c r="L4" s="283" t="s">
        <v>105</v>
      </c>
      <c r="M4" s="260"/>
      <c r="N4" s="260"/>
      <c r="O4" s="179"/>
      <c r="P4" s="179"/>
      <c r="Q4" s="33"/>
      <c r="R4" s="260" t="s">
        <v>105</v>
      </c>
      <c r="S4" s="260"/>
      <c r="T4" s="196"/>
    </row>
    <row r="5" spans="1:20" x14ac:dyDescent="0.25">
      <c r="A5" s="287"/>
      <c r="B5" s="197" t="s">
        <v>107</v>
      </c>
      <c r="C5" s="198" t="s">
        <v>196</v>
      </c>
      <c r="D5" s="67" t="s">
        <v>108</v>
      </c>
      <c r="E5" s="186" t="s">
        <v>197</v>
      </c>
      <c r="F5" s="186" t="s">
        <v>108</v>
      </c>
      <c r="G5" s="199"/>
      <c r="H5" s="198" t="s">
        <v>107</v>
      </c>
      <c r="I5" s="67" t="s">
        <v>108</v>
      </c>
      <c r="J5" s="180" t="s">
        <v>108</v>
      </c>
      <c r="L5" s="197" t="s">
        <v>107</v>
      </c>
      <c r="M5" s="198" t="s">
        <v>196</v>
      </c>
      <c r="N5" s="67" t="s">
        <v>108</v>
      </c>
      <c r="O5" s="186" t="s">
        <v>197</v>
      </c>
      <c r="P5" s="186" t="s">
        <v>108</v>
      </c>
      <c r="Q5" s="199"/>
      <c r="R5" s="198" t="s">
        <v>107</v>
      </c>
      <c r="S5" s="67" t="s">
        <v>108</v>
      </c>
      <c r="T5" s="180" t="s">
        <v>108</v>
      </c>
    </row>
    <row r="6" spans="1:20" x14ac:dyDescent="0.25">
      <c r="A6" s="287"/>
      <c r="B6" s="200"/>
      <c r="C6" s="187">
        <v>100000</v>
      </c>
      <c r="D6" s="183">
        <v>110</v>
      </c>
      <c r="E6" s="187">
        <v>100000</v>
      </c>
      <c r="F6" s="187">
        <v>110</v>
      </c>
      <c r="G6" s="199"/>
      <c r="H6" s="198"/>
      <c r="I6" s="185">
        <f>C6*D6</f>
        <v>11000000</v>
      </c>
      <c r="J6" s="185">
        <f>E6*F6</f>
        <v>11000000</v>
      </c>
      <c r="L6" s="200"/>
      <c r="M6" s="187">
        <v>100000</v>
      </c>
      <c r="N6" s="183">
        <v>110</v>
      </c>
      <c r="O6" s="187">
        <f>M6</f>
        <v>100000</v>
      </c>
      <c r="P6" s="186"/>
      <c r="Q6" s="199"/>
      <c r="R6" s="198"/>
      <c r="S6" s="185">
        <f>M6*N6</f>
        <v>11000000</v>
      </c>
      <c r="T6" s="185">
        <f>M6*N6</f>
        <v>11000000</v>
      </c>
    </row>
    <row r="7" spans="1:20" x14ac:dyDescent="0.25">
      <c r="A7" s="287"/>
      <c r="B7" s="200"/>
      <c r="C7" s="187">
        <v>200000</v>
      </c>
      <c r="D7" s="183">
        <v>100</v>
      </c>
      <c r="E7" s="187">
        <v>180000</v>
      </c>
      <c r="F7" s="187">
        <v>100</v>
      </c>
      <c r="G7" s="199"/>
      <c r="H7" s="198"/>
      <c r="I7" s="185">
        <f t="shared" ref="I7:I8" si="0">C7*D7</f>
        <v>20000000</v>
      </c>
      <c r="J7" s="185">
        <f>E7*F7</f>
        <v>18000000</v>
      </c>
      <c r="L7" s="200"/>
      <c r="M7" s="187">
        <v>200000</v>
      </c>
      <c r="N7" s="183">
        <v>100</v>
      </c>
      <c r="O7" s="187">
        <f>M7</f>
        <v>200000</v>
      </c>
      <c r="P7" s="186"/>
      <c r="Q7" s="199"/>
      <c r="R7" s="198"/>
      <c r="S7" s="185">
        <f t="shared" ref="S7:S8" si="1">M7*N7</f>
        <v>20000000</v>
      </c>
      <c r="T7" s="185">
        <f>M7*N7</f>
        <v>20000000</v>
      </c>
    </row>
    <row r="8" spans="1:20" ht="16.5" x14ac:dyDescent="0.35">
      <c r="B8" s="200"/>
      <c r="C8" s="190">
        <v>300000</v>
      </c>
      <c r="D8" s="183">
        <v>90</v>
      </c>
      <c r="E8" s="190">
        <v>240000</v>
      </c>
      <c r="F8" s="187">
        <v>90</v>
      </c>
      <c r="G8" s="199"/>
      <c r="H8" s="198"/>
      <c r="I8" s="191">
        <f t="shared" si="0"/>
        <v>27000000</v>
      </c>
      <c r="J8" s="191">
        <f>E8*F8</f>
        <v>21600000</v>
      </c>
      <c r="L8" s="200"/>
      <c r="M8" s="190">
        <v>300000</v>
      </c>
      <c r="N8" s="183">
        <v>90</v>
      </c>
      <c r="O8" s="190">
        <v>220000</v>
      </c>
      <c r="P8" s="186"/>
      <c r="Q8" s="199"/>
      <c r="R8" s="198"/>
      <c r="S8" s="191">
        <f t="shared" si="1"/>
        <v>27000000</v>
      </c>
      <c r="T8" s="191">
        <f>O8*N8</f>
        <v>19800000</v>
      </c>
    </row>
    <row r="9" spans="1:20" ht="16.5" x14ac:dyDescent="0.35">
      <c r="B9" s="200"/>
      <c r="C9" s="190">
        <f>SUM(C6:C8)</f>
        <v>600000</v>
      </c>
      <c r="D9" s="183"/>
      <c r="E9" s="187">
        <f>SUM(E6:E8)</f>
        <v>520000</v>
      </c>
      <c r="F9" s="186"/>
      <c r="G9" s="199"/>
      <c r="H9" s="198"/>
      <c r="I9" s="191">
        <f>SUM(I6:I8)</f>
        <v>58000000</v>
      </c>
      <c r="J9" s="185">
        <f>SUM(J6:J8)</f>
        <v>50600000</v>
      </c>
      <c r="L9" s="200"/>
      <c r="M9" s="190">
        <f>SUM(M6:M8)</f>
        <v>600000</v>
      </c>
      <c r="N9" s="183"/>
      <c r="O9" s="187">
        <f>SUM(O6:O8)</f>
        <v>520000</v>
      </c>
      <c r="P9" s="186"/>
      <c r="Q9" s="199"/>
      <c r="R9" s="198"/>
      <c r="S9" s="191">
        <f>SUM(S6:S8)</f>
        <v>58000000</v>
      </c>
      <c r="T9" s="185">
        <f>SUM(T6:T8)</f>
        <v>50800000</v>
      </c>
    </row>
    <row r="10" spans="1:20" x14ac:dyDescent="0.25">
      <c r="B10" s="201" t="s">
        <v>203</v>
      </c>
      <c r="C10" s="202">
        <f>C9-E9</f>
        <v>80000</v>
      </c>
      <c r="D10" s="184"/>
      <c r="E10" s="188"/>
      <c r="F10" s="195"/>
      <c r="G10" s="33"/>
      <c r="H10" s="193"/>
      <c r="I10" s="192">
        <f>I9-J9</f>
        <v>7400000</v>
      </c>
      <c r="J10" s="72"/>
      <c r="L10" s="201" t="s">
        <v>204</v>
      </c>
      <c r="M10" s="202">
        <f>M9-O9</f>
        <v>80000</v>
      </c>
      <c r="N10" s="184"/>
      <c r="O10" s="188"/>
      <c r="P10" s="195"/>
      <c r="Q10" s="33"/>
      <c r="R10" s="193"/>
      <c r="S10" s="192">
        <f>S9-T9</f>
        <v>7200000</v>
      </c>
      <c r="T10" s="72"/>
    </row>
    <row r="11" spans="1:20" ht="15.75" thickBot="1" x14ac:dyDescent="0.3">
      <c r="B11" s="203"/>
      <c r="C11" s="204"/>
      <c r="D11" s="205"/>
      <c r="E11" s="206"/>
      <c r="F11" s="207"/>
      <c r="G11" s="208"/>
      <c r="H11" s="209"/>
      <c r="I11" s="210"/>
      <c r="J11" s="211"/>
      <c r="L11" s="203"/>
      <c r="M11" s="204"/>
      <c r="N11" s="205"/>
      <c r="O11" s="206"/>
      <c r="P11" s="207"/>
      <c r="Q11" s="208"/>
      <c r="R11" s="209"/>
      <c r="S11" s="210"/>
      <c r="T11" s="211"/>
    </row>
    <row r="12" spans="1:20" ht="15.75" thickBot="1" x14ac:dyDescent="0.3">
      <c r="B12" s="193"/>
      <c r="C12" s="193"/>
      <c r="D12" s="194"/>
      <c r="E12" s="194"/>
      <c r="F12" s="195"/>
      <c r="H12" s="193"/>
      <c r="I12" s="195"/>
      <c r="J12" s="195"/>
      <c r="L12" s="182"/>
      <c r="M12" s="182"/>
      <c r="N12" s="188"/>
      <c r="O12" s="188"/>
      <c r="P12" s="73"/>
      <c r="R12" s="70"/>
      <c r="S12" s="189"/>
      <c r="T12" s="73"/>
    </row>
    <row r="13" spans="1:20" ht="15.75" thickBot="1" x14ac:dyDescent="0.3">
      <c r="B13" s="288" t="s">
        <v>200</v>
      </c>
      <c r="C13" s="289"/>
      <c r="D13" s="289"/>
      <c r="E13" s="289"/>
      <c r="F13" s="289"/>
      <c r="G13" s="2"/>
      <c r="H13" s="74"/>
      <c r="I13" s="76"/>
      <c r="J13" s="212"/>
      <c r="L13" s="284" t="s">
        <v>202</v>
      </c>
      <c r="M13" s="285"/>
      <c r="N13" s="285"/>
      <c r="O13" s="285"/>
      <c r="P13" s="286"/>
      <c r="Q13" s="2"/>
      <c r="R13" s="2"/>
      <c r="S13" s="2"/>
      <c r="T13" s="3"/>
    </row>
    <row r="14" spans="1:20" ht="15.75" thickBot="1" x14ac:dyDescent="0.3">
      <c r="B14" s="279" t="s">
        <v>194</v>
      </c>
      <c r="C14" s="261"/>
      <c r="D14" s="261"/>
      <c r="E14" s="261"/>
      <c r="F14" s="262"/>
      <c r="G14" s="33"/>
      <c r="H14" s="279" t="s">
        <v>195</v>
      </c>
      <c r="I14" s="261"/>
      <c r="J14" s="262"/>
      <c r="L14" s="280" t="s">
        <v>194</v>
      </c>
      <c r="M14" s="281"/>
      <c r="N14" s="281"/>
      <c r="O14" s="281"/>
      <c r="P14" s="282"/>
      <c r="Q14" s="33"/>
      <c r="R14" s="279" t="s">
        <v>195</v>
      </c>
      <c r="S14" s="261"/>
      <c r="T14" s="262"/>
    </row>
    <row r="15" spans="1:20" ht="15.75" thickBot="1" x14ac:dyDescent="0.3">
      <c r="B15" s="283" t="s">
        <v>105</v>
      </c>
      <c r="C15" s="260"/>
      <c r="D15" s="260"/>
      <c r="E15" s="179"/>
      <c r="F15" s="179"/>
      <c r="G15" s="33"/>
      <c r="H15" s="260" t="s">
        <v>105</v>
      </c>
      <c r="I15" s="260"/>
      <c r="J15" s="196"/>
      <c r="L15" s="283" t="s">
        <v>105</v>
      </c>
      <c r="M15" s="260"/>
      <c r="N15" s="260"/>
      <c r="O15" s="179"/>
      <c r="P15" s="179"/>
      <c r="Q15" s="33"/>
      <c r="R15" s="260" t="s">
        <v>105</v>
      </c>
      <c r="S15" s="260"/>
      <c r="T15" s="196"/>
    </row>
    <row r="16" spans="1:20" x14ac:dyDescent="0.25">
      <c r="B16" s="197" t="s">
        <v>107</v>
      </c>
      <c r="C16" s="198" t="s">
        <v>196</v>
      </c>
      <c r="D16" s="67" t="s">
        <v>108</v>
      </c>
      <c r="E16" s="186" t="s">
        <v>197</v>
      </c>
      <c r="F16" s="186" t="s">
        <v>108</v>
      </c>
      <c r="G16" s="199"/>
      <c r="H16" s="198" t="s">
        <v>107</v>
      </c>
      <c r="I16" s="67" t="s">
        <v>108</v>
      </c>
      <c r="J16" s="180" t="s">
        <v>108</v>
      </c>
      <c r="L16" s="197" t="s">
        <v>107</v>
      </c>
      <c r="M16" s="198" t="s">
        <v>196</v>
      </c>
      <c r="N16" s="67" t="s">
        <v>108</v>
      </c>
      <c r="O16" s="186" t="s">
        <v>197</v>
      </c>
      <c r="P16" s="186" t="s">
        <v>108</v>
      </c>
      <c r="Q16" s="199"/>
      <c r="R16" s="198" t="s">
        <v>107</v>
      </c>
      <c r="S16" s="67" t="s">
        <v>108</v>
      </c>
      <c r="T16" s="180" t="s">
        <v>108</v>
      </c>
    </row>
    <row r="17" spans="2:20" x14ac:dyDescent="0.25">
      <c r="B17" s="200"/>
      <c r="C17" s="187">
        <v>100000</v>
      </c>
      <c r="D17" s="183">
        <v>110</v>
      </c>
      <c r="E17" s="187"/>
      <c r="F17" s="186"/>
      <c r="G17" s="199"/>
      <c r="H17" s="198"/>
      <c r="I17" s="185">
        <f>C17*D17</f>
        <v>11000000</v>
      </c>
      <c r="J17" s="180"/>
      <c r="L17" s="200"/>
      <c r="M17" s="187">
        <v>100000</v>
      </c>
      <c r="N17" s="183">
        <v>110</v>
      </c>
      <c r="O17" s="187">
        <v>20000</v>
      </c>
      <c r="P17" s="186"/>
      <c r="Q17" s="199"/>
      <c r="R17" s="198"/>
      <c r="S17" s="185">
        <f>M17*N17</f>
        <v>11000000</v>
      </c>
      <c r="T17" s="185">
        <f>O17*N17</f>
        <v>2200000</v>
      </c>
    </row>
    <row r="18" spans="2:20" x14ac:dyDescent="0.25">
      <c r="B18" s="200"/>
      <c r="C18" s="187">
        <v>200000</v>
      </c>
      <c r="D18" s="183">
        <v>100</v>
      </c>
      <c r="E18" s="187"/>
      <c r="F18" s="186"/>
      <c r="G18" s="199"/>
      <c r="H18" s="198"/>
      <c r="I18" s="185">
        <f t="shared" ref="I18:I19" si="2">C18*D18</f>
        <v>20000000</v>
      </c>
      <c r="J18" s="180"/>
      <c r="L18" s="200"/>
      <c r="M18" s="187">
        <v>200000</v>
      </c>
      <c r="N18" s="183">
        <v>100</v>
      </c>
      <c r="O18" s="187">
        <f>M18</f>
        <v>200000</v>
      </c>
      <c r="P18" s="186"/>
      <c r="Q18" s="199"/>
      <c r="R18" s="198"/>
      <c r="S18" s="185">
        <f t="shared" ref="S18:S19" si="3">M18*N18</f>
        <v>20000000</v>
      </c>
      <c r="T18" s="185">
        <f>O18*N18</f>
        <v>20000000</v>
      </c>
    </row>
    <row r="19" spans="2:20" ht="16.5" x14ac:dyDescent="0.35">
      <c r="B19" s="200"/>
      <c r="C19" s="190">
        <v>300000</v>
      </c>
      <c r="D19" s="183">
        <v>90</v>
      </c>
      <c r="E19" s="187">
        <v>520000</v>
      </c>
      <c r="F19" s="186"/>
      <c r="G19" s="199"/>
      <c r="H19" s="198"/>
      <c r="I19" s="191">
        <f t="shared" si="2"/>
        <v>27000000</v>
      </c>
      <c r="J19" s="180"/>
      <c r="L19" s="200"/>
      <c r="M19" s="190">
        <v>300000</v>
      </c>
      <c r="N19" s="183">
        <v>90</v>
      </c>
      <c r="O19" s="190">
        <f>M19</f>
        <v>300000</v>
      </c>
      <c r="P19" s="186"/>
      <c r="Q19" s="199"/>
      <c r="R19" s="198"/>
      <c r="S19" s="191">
        <f t="shared" si="3"/>
        <v>27000000</v>
      </c>
      <c r="T19" s="191">
        <f>O19*N19</f>
        <v>27000000</v>
      </c>
    </row>
    <row r="20" spans="2:20" ht="16.5" x14ac:dyDescent="0.35">
      <c r="B20" s="200"/>
      <c r="C20" s="190">
        <f>SUM(C17:C19)</f>
        <v>600000</v>
      </c>
      <c r="D20" s="181">
        <f>I20/C20</f>
        <v>96.666666666666671</v>
      </c>
      <c r="E20" s="187"/>
      <c r="F20" s="186"/>
      <c r="G20" s="199"/>
      <c r="H20" s="198"/>
      <c r="I20" s="191">
        <f>SUM(I17:I19)</f>
        <v>58000000</v>
      </c>
      <c r="J20" s="191">
        <f>E19*D20</f>
        <v>50266666.666666672</v>
      </c>
      <c r="L20" s="200"/>
      <c r="M20" s="190">
        <f>SUM(M17:M19)</f>
        <v>600000</v>
      </c>
      <c r="N20" s="183"/>
      <c r="O20" s="187">
        <f>SUM(O17:O19)</f>
        <v>520000</v>
      </c>
      <c r="P20" s="186"/>
      <c r="Q20" s="199"/>
      <c r="R20" s="198"/>
      <c r="S20" s="191">
        <f>SUM(S17:S19)</f>
        <v>58000000</v>
      </c>
      <c r="T20" s="185">
        <f>SUM(T17:T19)</f>
        <v>49200000</v>
      </c>
    </row>
    <row r="21" spans="2:20" x14ac:dyDescent="0.25">
      <c r="B21" s="201" t="s">
        <v>203</v>
      </c>
      <c r="C21" s="202">
        <f>C20-E19</f>
        <v>80000</v>
      </c>
      <c r="D21" s="183"/>
      <c r="E21" s="187"/>
      <c r="F21" s="195"/>
      <c r="G21" s="33"/>
      <c r="H21" s="193"/>
      <c r="I21" s="192">
        <f>I20-J20</f>
        <v>7733333.3333333284</v>
      </c>
      <c r="J21" s="72"/>
      <c r="L21" s="201" t="s">
        <v>204</v>
      </c>
      <c r="M21" s="202">
        <f>M20-O20</f>
        <v>80000</v>
      </c>
      <c r="N21" s="184"/>
      <c r="O21" s="188"/>
      <c r="P21" s="195"/>
      <c r="Q21" s="33"/>
      <c r="R21" s="193"/>
      <c r="S21" s="192">
        <f>S20-T20</f>
        <v>8800000</v>
      </c>
      <c r="T21" s="72"/>
    </row>
    <row r="22" spans="2:20" ht="15.75" thickBot="1" x14ac:dyDescent="0.3">
      <c r="B22" s="203"/>
      <c r="C22" s="213"/>
      <c r="D22" s="205"/>
      <c r="E22" s="206"/>
      <c r="F22" s="207"/>
      <c r="G22" s="208"/>
      <c r="H22" s="209"/>
      <c r="I22" s="210"/>
      <c r="J22" s="211"/>
      <c r="L22" s="203"/>
      <c r="M22" s="204"/>
      <c r="N22" s="205"/>
      <c r="O22" s="206"/>
      <c r="P22" s="207"/>
      <c r="Q22" s="208"/>
      <c r="R22" s="209"/>
      <c r="S22" s="210"/>
      <c r="T22" s="211"/>
    </row>
  </sheetData>
  <mergeCells count="21">
    <mergeCell ref="L3:P3"/>
    <mergeCell ref="R3:T3"/>
    <mergeCell ref="B2:F2"/>
    <mergeCell ref="B13:F13"/>
    <mergeCell ref="L2:P2"/>
    <mergeCell ref="B3:F3"/>
    <mergeCell ref="H3:J3"/>
    <mergeCell ref="B4:D4"/>
    <mergeCell ref="H4:I4"/>
    <mergeCell ref="L4:N4"/>
    <mergeCell ref="R4:S4"/>
    <mergeCell ref="A1:A7"/>
    <mergeCell ref="B14:F14"/>
    <mergeCell ref="H14:J14"/>
    <mergeCell ref="B15:D15"/>
    <mergeCell ref="H15:I15"/>
    <mergeCell ref="L14:P14"/>
    <mergeCell ref="R14:T14"/>
    <mergeCell ref="L15:N15"/>
    <mergeCell ref="R15:S15"/>
    <mergeCell ref="L13:P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>
      <selection activeCell="D28" sqref="D28"/>
    </sheetView>
  </sheetViews>
  <sheetFormatPr defaultRowHeight="15" x14ac:dyDescent="0.25"/>
  <cols>
    <col min="2" max="2" width="55.5703125" customWidth="1"/>
    <col min="5" max="5" width="6.140625" bestFit="1" customWidth="1"/>
    <col min="6" max="6" width="11.85546875" bestFit="1" customWidth="1"/>
    <col min="7" max="8" width="8" bestFit="1" customWidth="1"/>
    <col min="10" max="10" width="6.85546875" customWidth="1"/>
    <col min="11" max="11" width="13.28515625" bestFit="1" customWidth="1"/>
    <col min="12" max="12" width="11.85546875" bestFit="1" customWidth="1"/>
    <col min="13" max="13" width="10.5703125" bestFit="1" customWidth="1"/>
  </cols>
  <sheetData>
    <row r="1" spans="2:15" ht="150" x14ac:dyDescent="0.25">
      <c r="B1" s="214" t="s">
        <v>205</v>
      </c>
    </row>
    <row r="4" spans="2:15" ht="15.75" thickBot="1" x14ac:dyDescent="0.3"/>
    <row r="5" spans="2:15" ht="15.75" thickBot="1" x14ac:dyDescent="0.3">
      <c r="E5" s="279" t="s">
        <v>109</v>
      </c>
      <c r="F5" s="261"/>
      <c r="G5" s="261"/>
      <c r="H5" s="261"/>
      <c r="I5" s="262"/>
      <c r="K5" s="279" t="s">
        <v>110</v>
      </c>
      <c r="L5" s="261"/>
      <c r="M5" s="261"/>
      <c r="N5" s="261"/>
      <c r="O5" s="262"/>
    </row>
    <row r="6" spans="2:15" ht="15.75" thickBot="1" x14ac:dyDescent="0.3">
      <c r="E6" s="260" t="s">
        <v>105</v>
      </c>
      <c r="F6" s="260"/>
      <c r="G6" s="260"/>
      <c r="H6" s="260" t="s">
        <v>106</v>
      </c>
      <c r="I6" s="260"/>
      <c r="K6" s="260" t="s">
        <v>105</v>
      </c>
      <c r="L6" s="260"/>
      <c r="M6" s="260" t="s">
        <v>106</v>
      </c>
      <c r="N6" s="260"/>
      <c r="O6" s="260"/>
    </row>
    <row r="7" spans="2:15" x14ac:dyDescent="0.25">
      <c r="E7" s="65" t="s">
        <v>107</v>
      </c>
      <c r="F7" s="66"/>
      <c r="G7" s="67" t="s">
        <v>108</v>
      </c>
      <c r="H7" s="65" t="s">
        <v>107</v>
      </c>
      <c r="I7" s="68" t="s">
        <v>108</v>
      </c>
      <c r="J7" s="69"/>
      <c r="K7" s="65" t="s">
        <v>107</v>
      </c>
      <c r="L7" s="67" t="s">
        <v>108</v>
      </c>
      <c r="M7" s="65" t="s">
        <v>107</v>
      </c>
      <c r="N7" s="66"/>
      <c r="O7" s="68" t="s">
        <v>108</v>
      </c>
    </row>
    <row r="8" spans="2:15" x14ac:dyDescent="0.25">
      <c r="E8" s="70" t="s">
        <v>117</v>
      </c>
      <c r="F8" s="71" t="s">
        <v>115</v>
      </c>
      <c r="G8" s="216">
        <v>5100</v>
      </c>
      <c r="H8" s="217"/>
      <c r="I8" s="73"/>
      <c r="K8" s="70"/>
      <c r="L8" s="112"/>
      <c r="M8" s="145">
        <v>3200</v>
      </c>
      <c r="N8" s="71" t="s">
        <v>117</v>
      </c>
      <c r="O8" s="73"/>
    </row>
    <row r="9" spans="2:15" ht="15.75" thickBot="1" x14ac:dyDescent="0.3">
      <c r="E9" s="70"/>
      <c r="F9" s="71"/>
      <c r="G9" s="216"/>
      <c r="H9" s="218">
        <f>G8+G9-G10</f>
        <v>5100</v>
      </c>
      <c r="I9" s="73" t="s">
        <v>210</v>
      </c>
      <c r="K9" s="70" t="s">
        <v>210</v>
      </c>
      <c r="L9" s="148">
        <v>3200</v>
      </c>
      <c r="M9" s="145"/>
      <c r="N9" s="71"/>
      <c r="O9" s="73"/>
    </row>
    <row r="10" spans="2:15" x14ac:dyDescent="0.25">
      <c r="E10" s="74" t="s">
        <v>117</v>
      </c>
      <c r="F10" s="75" t="str">
        <f>IF(SUM(G8:G11)&gt;=SUM(I8:I11),"Bal","")</f>
        <v>Bal</v>
      </c>
      <c r="G10" s="219">
        <v>0</v>
      </c>
      <c r="H10" s="220"/>
      <c r="I10" s="76"/>
      <c r="K10" s="74"/>
      <c r="L10" s="76"/>
      <c r="M10" s="215">
        <v>0</v>
      </c>
      <c r="N10" s="75" t="s">
        <v>204</v>
      </c>
      <c r="O10" s="76"/>
    </row>
    <row r="12" spans="2:15" x14ac:dyDescent="0.25">
      <c r="F12" s="221"/>
      <c r="G12" s="222" t="s">
        <v>206</v>
      </c>
      <c r="H12" s="222" t="s">
        <v>207</v>
      </c>
      <c r="L12" s="221"/>
      <c r="M12" s="222" t="s">
        <v>206</v>
      </c>
      <c r="N12" s="222" t="s">
        <v>207</v>
      </c>
    </row>
    <row r="13" spans="2:15" x14ac:dyDescent="0.25">
      <c r="F13" s="221" t="s">
        <v>208</v>
      </c>
      <c r="G13" s="223"/>
      <c r="H13" s="223">
        <f>H9</f>
        <v>5100</v>
      </c>
      <c r="L13" s="221" t="s">
        <v>208</v>
      </c>
      <c r="M13" s="223"/>
      <c r="N13" s="223">
        <v>5100</v>
      </c>
    </row>
    <row r="14" spans="2:15" x14ac:dyDescent="0.25">
      <c r="F14" s="221" t="s">
        <v>209</v>
      </c>
      <c r="G14" s="223">
        <f>L9</f>
        <v>3200</v>
      </c>
      <c r="H14" s="223"/>
      <c r="L14" s="221" t="s">
        <v>209</v>
      </c>
      <c r="M14" s="223">
        <v>3200</v>
      </c>
      <c r="N14" s="223"/>
    </row>
    <row r="15" spans="2:15" x14ac:dyDescent="0.25">
      <c r="E15" t="s">
        <v>211</v>
      </c>
      <c r="F15" s="221" t="s">
        <v>11</v>
      </c>
      <c r="G15" s="226" t="s">
        <v>213</v>
      </c>
      <c r="H15" s="223"/>
      <c r="K15" t="s">
        <v>211</v>
      </c>
      <c r="L15" s="221" t="s">
        <v>11</v>
      </c>
      <c r="M15" s="224">
        <v>3100</v>
      </c>
      <c r="N15" s="223"/>
    </row>
    <row r="16" spans="2:15" ht="17.25" x14ac:dyDescent="0.4">
      <c r="F16" s="221" t="s">
        <v>125</v>
      </c>
      <c r="G16" s="227"/>
      <c r="H16" s="225">
        <v>1200</v>
      </c>
      <c r="I16" t="s">
        <v>117</v>
      </c>
      <c r="L16" s="221" t="s">
        <v>125</v>
      </c>
      <c r="M16" s="227"/>
      <c r="N16" s="225">
        <v>1200</v>
      </c>
      <c r="O16" t="s">
        <v>117</v>
      </c>
    </row>
    <row r="17" spans="6:14" x14ac:dyDescent="0.25">
      <c r="F17" s="221" t="s">
        <v>212</v>
      </c>
      <c r="G17" s="223">
        <f>SUM(G13:G16)</f>
        <v>3200</v>
      </c>
      <c r="H17" s="223">
        <f>SUM(H13:H16)</f>
        <v>6300</v>
      </c>
      <c r="K17" t="s">
        <v>214</v>
      </c>
      <c r="L17" s="221" t="s">
        <v>212</v>
      </c>
      <c r="M17" s="223">
        <f>SUM(M13:M16)</f>
        <v>6300</v>
      </c>
      <c r="N17" s="223">
        <f>SUM(N13:N16)</f>
        <v>6300</v>
      </c>
    </row>
  </sheetData>
  <mergeCells count="6">
    <mergeCell ref="E5:I5"/>
    <mergeCell ref="K5:O5"/>
    <mergeCell ref="E6:G6"/>
    <mergeCell ref="H6:I6"/>
    <mergeCell ref="K6:L6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topLeftCell="A46" workbookViewId="0">
      <selection activeCell="B21" sqref="B21:G21"/>
    </sheetView>
  </sheetViews>
  <sheetFormatPr defaultRowHeight="15" x14ac:dyDescent="0.25"/>
  <cols>
    <col min="4" max="4" width="14.7109375" bestFit="1" customWidth="1"/>
    <col min="5" max="5" width="15.28515625" bestFit="1" customWidth="1"/>
    <col min="10" max="10" width="10.7109375" bestFit="1" customWidth="1"/>
    <col min="11" max="11" width="12.5703125" bestFit="1" customWidth="1"/>
  </cols>
  <sheetData>
    <row r="1" spans="2:14" ht="15.75" thickBot="1" x14ac:dyDescent="0.3"/>
    <row r="2" spans="2:14" ht="15.75" thickBot="1" x14ac:dyDescent="0.3">
      <c r="B2" s="279" t="s">
        <v>12</v>
      </c>
      <c r="C2" s="261"/>
      <c r="D2" s="261"/>
      <c r="E2" s="261"/>
      <c r="F2" s="261"/>
      <c r="G2" s="262"/>
    </row>
    <row r="3" spans="2:14" ht="15.75" thickBot="1" x14ac:dyDescent="0.3">
      <c r="B3" s="260" t="s">
        <v>105</v>
      </c>
      <c r="C3" s="260"/>
      <c r="D3" s="260"/>
      <c r="E3" s="260" t="s">
        <v>106</v>
      </c>
      <c r="F3" s="260"/>
      <c r="G3" s="260"/>
      <c r="I3" s="279" t="s">
        <v>216</v>
      </c>
      <c r="J3" s="261"/>
      <c r="K3" s="261"/>
      <c r="L3" s="262"/>
    </row>
    <row r="4" spans="2:14" ht="15.75" thickBot="1" x14ac:dyDescent="0.3">
      <c r="B4" s="65" t="s">
        <v>107</v>
      </c>
      <c r="C4" s="66"/>
      <c r="D4" s="67" t="s">
        <v>108</v>
      </c>
      <c r="E4" s="65" t="s">
        <v>107</v>
      </c>
      <c r="F4" s="66"/>
      <c r="G4" s="68" t="s">
        <v>108</v>
      </c>
      <c r="I4" s="260" t="s">
        <v>105</v>
      </c>
      <c r="J4" s="260"/>
      <c r="K4" s="260" t="s">
        <v>106</v>
      </c>
      <c r="L4" s="260"/>
    </row>
    <row r="5" spans="2:14" x14ac:dyDescent="0.25">
      <c r="B5" s="70" t="s">
        <v>117</v>
      </c>
      <c r="C5" s="71" t="s">
        <v>115</v>
      </c>
      <c r="D5" s="228">
        <v>13500</v>
      </c>
      <c r="E5" s="70"/>
      <c r="F5" s="71"/>
      <c r="G5" s="73"/>
      <c r="I5" s="65"/>
      <c r="J5" s="67"/>
      <c r="K5" s="231">
        <v>56</v>
      </c>
      <c r="L5" s="231" t="s">
        <v>115</v>
      </c>
      <c r="M5" t="s">
        <v>117</v>
      </c>
    </row>
    <row r="6" spans="2:14" ht="15.75" thickBot="1" x14ac:dyDescent="0.3">
      <c r="B6" s="70" t="s">
        <v>117</v>
      </c>
      <c r="C6" s="71" t="s">
        <v>116</v>
      </c>
      <c r="D6" s="228">
        <v>100000</v>
      </c>
      <c r="E6" s="110">
        <f>D5+D6-D7</f>
        <v>88500</v>
      </c>
      <c r="F6" s="71" t="s">
        <v>126</v>
      </c>
      <c r="G6" s="73"/>
      <c r="I6" s="65" t="s">
        <v>117</v>
      </c>
      <c r="J6" s="180">
        <v>84</v>
      </c>
      <c r="K6" s="231"/>
      <c r="L6" s="231"/>
    </row>
    <row r="7" spans="2:14" ht="15.75" thickBot="1" x14ac:dyDescent="0.3">
      <c r="B7" s="74" t="s">
        <v>117</v>
      </c>
      <c r="C7" s="75" t="str">
        <f>IF(SUM(D5:D12)&gt;=SUM(G5:G12),"Bal","")</f>
        <v>Bal</v>
      </c>
      <c r="D7" s="229">
        <v>25000</v>
      </c>
      <c r="E7" s="74"/>
      <c r="F7" s="75" t="str">
        <f>IF(SUM(G5:G12)&gt;SUM(D5:D12),"Bal","")</f>
        <v/>
      </c>
      <c r="G7" s="76"/>
      <c r="I7" s="70"/>
      <c r="J7" s="228"/>
      <c r="K7" s="234" t="s">
        <v>213</v>
      </c>
      <c r="L7" s="182" t="s">
        <v>218</v>
      </c>
    </row>
    <row r="8" spans="2:14" x14ac:dyDescent="0.25">
      <c r="I8" s="70"/>
      <c r="J8" s="74"/>
      <c r="K8" s="233">
        <v>92</v>
      </c>
      <c r="L8" s="182" t="s">
        <v>217</v>
      </c>
      <c r="M8" t="s">
        <v>117</v>
      </c>
    </row>
    <row r="9" spans="2:14" x14ac:dyDescent="0.25">
      <c r="K9" s="232"/>
      <c r="L9" s="232"/>
    </row>
    <row r="10" spans="2:14" x14ac:dyDescent="0.25">
      <c r="B10" s="290" t="s">
        <v>215</v>
      </c>
      <c r="C10" s="290"/>
      <c r="D10" s="290"/>
      <c r="E10" s="290"/>
      <c r="F10" s="290"/>
      <c r="G10" s="290"/>
      <c r="I10" s="290" t="s">
        <v>219</v>
      </c>
      <c r="J10" s="290"/>
      <c r="K10" s="290"/>
      <c r="L10" s="290"/>
      <c r="M10" s="290"/>
      <c r="N10" s="235"/>
    </row>
    <row r="12" spans="2:14" ht="15.75" thickBot="1" x14ac:dyDescent="0.3">
      <c r="I12" s="290" t="s">
        <v>220</v>
      </c>
      <c r="J12" s="290"/>
      <c r="K12" s="290"/>
      <c r="L12" s="290"/>
      <c r="M12" s="290"/>
    </row>
    <row r="13" spans="2:14" ht="15.75" thickBot="1" x14ac:dyDescent="0.3">
      <c r="B13" s="279" t="s">
        <v>12</v>
      </c>
      <c r="C13" s="261"/>
      <c r="D13" s="261"/>
      <c r="E13" s="261"/>
      <c r="F13" s="261"/>
      <c r="G13" s="262"/>
      <c r="I13" s="230"/>
      <c r="J13" s="230"/>
      <c r="K13" s="230"/>
      <c r="L13" s="230"/>
      <c r="M13" s="230"/>
    </row>
    <row r="14" spans="2:14" ht="15.75" thickBot="1" x14ac:dyDescent="0.3">
      <c r="B14" s="260" t="s">
        <v>105</v>
      </c>
      <c r="C14" s="260"/>
      <c r="D14" s="260"/>
      <c r="E14" s="260" t="s">
        <v>106</v>
      </c>
      <c r="F14" s="260"/>
      <c r="G14" s="260"/>
      <c r="I14" s="230"/>
      <c r="J14" s="230" t="s">
        <v>223</v>
      </c>
      <c r="K14" s="230"/>
      <c r="L14" s="230"/>
      <c r="M14" s="230"/>
    </row>
    <row r="15" spans="2:14" x14ac:dyDescent="0.25">
      <c r="B15" s="65" t="s">
        <v>107</v>
      </c>
      <c r="C15" s="66"/>
      <c r="D15" s="67" t="s">
        <v>108</v>
      </c>
      <c r="E15" s="65" t="s">
        <v>107</v>
      </c>
      <c r="F15" s="66"/>
      <c r="G15" s="68" t="s">
        <v>108</v>
      </c>
      <c r="J15" t="s">
        <v>224</v>
      </c>
    </row>
    <row r="16" spans="2:14" x14ac:dyDescent="0.25">
      <c r="B16" s="70" t="s">
        <v>117</v>
      </c>
      <c r="C16" s="236" t="s">
        <v>115</v>
      </c>
      <c r="D16" s="238">
        <v>6000000</v>
      </c>
      <c r="E16" s="70"/>
      <c r="F16" s="236"/>
      <c r="G16" s="73"/>
      <c r="J16" t="s">
        <v>225</v>
      </c>
    </row>
    <row r="17" spans="2:13" ht="15.75" thickBot="1" x14ac:dyDescent="0.3">
      <c r="B17" s="70" t="s">
        <v>117</v>
      </c>
      <c r="C17" s="236" t="s">
        <v>116</v>
      </c>
      <c r="D17" s="238">
        <v>50000000</v>
      </c>
      <c r="E17" s="110" t="s">
        <v>213</v>
      </c>
      <c r="F17" s="236" t="s">
        <v>126</v>
      </c>
      <c r="G17" s="73"/>
      <c r="J17" t="s">
        <v>226</v>
      </c>
    </row>
    <row r="18" spans="2:13" ht="15.75" thickBot="1" x14ac:dyDescent="0.3">
      <c r="B18" s="74" t="s">
        <v>117</v>
      </c>
      <c r="C18" s="75" t="str">
        <f>IF(SUM(D16:D24)&gt;=SUM(G16:G24),"Bal","")</f>
        <v>Bal</v>
      </c>
      <c r="D18" s="239">
        <v>7500000</v>
      </c>
      <c r="E18" s="74"/>
      <c r="F18" s="75" t="str">
        <f>IF(SUM(G16:G24)&gt;SUM(D16:D24),"Bal","")</f>
        <v/>
      </c>
      <c r="G18" s="76"/>
      <c r="H18" s="33"/>
      <c r="J18" t="s">
        <v>227</v>
      </c>
    </row>
    <row r="19" spans="2:13" ht="15.75" thickBot="1" x14ac:dyDescent="0.3">
      <c r="H19" s="33"/>
      <c r="I19" s="279" t="s">
        <v>221</v>
      </c>
      <c r="J19" s="261"/>
      <c r="K19" s="261"/>
      <c r="L19" s="262"/>
    </row>
    <row r="20" spans="2:13" ht="15.75" thickBot="1" x14ac:dyDescent="0.3">
      <c r="B20" s="290" t="s">
        <v>231</v>
      </c>
      <c r="C20" s="290"/>
      <c r="D20" s="290"/>
      <c r="E20" s="290"/>
      <c r="F20" s="290"/>
      <c r="G20" s="290"/>
      <c r="H20" s="33"/>
      <c r="I20" s="260" t="s">
        <v>105</v>
      </c>
      <c r="J20" s="260"/>
      <c r="K20" s="260" t="s">
        <v>106</v>
      </c>
      <c r="L20" s="260"/>
    </row>
    <row r="21" spans="2:13" ht="15.75" thickBot="1" x14ac:dyDescent="0.3">
      <c r="B21" s="290" t="s">
        <v>232</v>
      </c>
      <c r="C21" s="290"/>
      <c r="D21" s="290"/>
      <c r="E21" s="290"/>
      <c r="F21" s="290"/>
      <c r="G21" s="290"/>
      <c r="H21" s="33"/>
      <c r="I21" s="240"/>
      <c r="J21" s="241"/>
      <c r="K21" s="240"/>
      <c r="L21" s="240"/>
    </row>
    <row r="22" spans="2:13" x14ac:dyDescent="0.25">
      <c r="B22" s="290" t="s">
        <v>230</v>
      </c>
      <c r="C22" s="290"/>
      <c r="D22" s="290"/>
      <c r="E22" s="290"/>
      <c r="F22" s="290"/>
      <c r="G22" s="290"/>
      <c r="H22" s="33"/>
      <c r="I22" s="65"/>
      <c r="J22" s="67"/>
      <c r="K22" s="237">
        <v>800</v>
      </c>
      <c r="L22" s="231" t="s">
        <v>115</v>
      </c>
      <c r="M22" t="s">
        <v>117</v>
      </c>
    </row>
    <row r="23" spans="2:13" x14ac:dyDescent="0.25">
      <c r="B23" s="33"/>
      <c r="C23" s="33"/>
      <c r="D23" s="33"/>
      <c r="E23" s="33"/>
      <c r="F23" s="33"/>
      <c r="G23" s="33"/>
      <c r="H23" s="33" t="s">
        <v>222</v>
      </c>
      <c r="I23" s="65" t="s">
        <v>117</v>
      </c>
      <c r="J23" s="185">
        <v>200</v>
      </c>
      <c r="K23" s="231"/>
      <c r="L23" s="231"/>
    </row>
    <row r="24" spans="2:13" ht="15.75" thickBot="1" x14ac:dyDescent="0.3">
      <c r="B24" s="291"/>
      <c r="C24" s="291"/>
      <c r="D24" s="291"/>
      <c r="E24" s="291"/>
      <c r="F24" s="291"/>
      <c r="G24" s="291"/>
      <c r="H24" s="33"/>
      <c r="I24" s="70"/>
      <c r="J24" s="228"/>
      <c r="K24" s="234" t="s">
        <v>213</v>
      </c>
      <c r="L24" s="182" t="s">
        <v>218</v>
      </c>
    </row>
    <row r="25" spans="2:13" x14ac:dyDescent="0.25">
      <c r="B25" s="33"/>
      <c r="C25" s="33"/>
      <c r="D25" s="33"/>
      <c r="E25" s="33"/>
      <c r="F25" s="33"/>
      <c r="G25" s="33"/>
      <c r="H25" s="33"/>
      <c r="I25" s="70"/>
      <c r="J25" s="74"/>
      <c r="K25" s="113">
        <v>1650</v>
      </c>
      <c r="L25" s="182" t="s">
        <v>217</v>
      </c>
      <c r="M25" t="s">
        <v>117</v>
      </c>
    </row>
    <row r="26" spans="2:13" x14ac:dyDescent="0.25">
      <c r="B26" s="33"/>
      <c r="C26" s="33"/>
      <c r="D26" s="33"/>
      <c r="E26" s="33"/>
      <c r="F26" s="33"/>
      <c r="G26" s="33"/>
      <c r="H26" s="33"/>
      <c r="K26" s="232"/>
      <c r="L26" s="232"/>
    </row>
    <row r="27" spans="2:13" x14ac:dyDescent="0.25">
      <c r="B27" s="33"/>
      <c r="C27" s="33"/>
      <c r="D27" s="33"/>
      <c r="E27" s="33"/>
      <c r="F27" s="33"/>
      <c r="G27" s="33"/>
      <c r="H27" s="33"/>
      <c r="I27" s="290" t="s">
        <v>228</v>
      </c>
      <c r="J27" s="290"/>
      <c r="K27" s="290"/>
      <c r="L27" s="290"/>
      <c r="M27" s="290"/>
    </row>
    <row r="28" spans="2:13" x14ac:dyDescent="0.25">
      <c r="I28" s="290" t="s">
        <v>229</v>
      </c>
      <c r="J28" s="290"/>
      <c r="K28" s="290"/>
      <c r="L28" s="290"/>
      <c r="M28" s="290"/>
    </row>
    <row r="29" spans="2:13" x14ac:dyDescent="0.25">
      <c r="I29" s="290"/>
      <c r="J29" s="290"/>
      <c r="K29" s="290"/>
      <c r="L29" s="290"/>
      <c r="M29" s="290"/>
    </row>
    <row r="30" spans="2:13" ht="15.75" thickBot="1" x14ac:dyDescent="0.3"/>
    <row r="31" spans="2:13" ht="15.75" thickBot="1" x14ac:dyDescent="0.3">
      <c r="H31" s="33"/>
      <c r="I31" s="279" t="s">
        <v>221</v>
      </c>
      <c r="J31" s="261"/>
      <c r="K31" s="261"/>
      <c r="L31" s="262"/>
    </row>
    <row r="32" spans="2:13" ht="15.75" thickBot="1" x14ac:dyDescent="0.3">
      <c r="H32" s="33"/>
      <c r="I32" s="260" t="s">
        <v>105</v>
      </c>
      <c r="J32" s="260"/>
      <c r="K32" s="260" t="s">
        <v>106</v>
      </c>
      <c r="L32" s="260"/>
    </row>
    <row r="33" spans="8:13" ht="15.75" thickBot="1" x14ac:dyDescent="0.3">
      <c r="H33" s="33"/>
      <c r="I33" s="240"/>
      <c r="J33" s="241"/>
      <c r="K33" s="240"/>
      <c r="L33" s="240"/>
    </row>
    <row r="34" spans="8:13" x14ac:dyDescent="0.25">
      <c r="H34" s="33"/>
      <c r="I34" s="65"/>
      <c r="J34" s="67"/>
      <c r="K34" s="244">
        <v>800</v>
      </c>
      <c r="L34" s="245" t="s">
        <v>115</v>
      </c>
      <c r="M34" t="s">
        <v>117</v>
      </c>
    </row>
    <row r="35" spans="8:13" x14ac:dyDescent="0.25">
      <c r="H35" s="33" t="s">
        <v>222</v>
      </c>
      <c r="I35" s="65" t="s">
        <v>117</v>
      </c>
      <c r="J35" s="185">
        <v>200</v>
      </c>
      <c r="K35" s="231"/>
      <c r="L35" s="231"/>
    </row>
    <row r="36" spans="8:13" ht="15.75" thickBot="1" x14ac:dyDescent="0.3">
      <c r="H36" s="33"/>
      <c r="I36" s="70"/>
      <c r="J36" s="228"/>
      <c r="K36" s="234" t="s">
        <v>213</v>
      </c>
      <c r="L36" s="182" t="s">
        <v>218</v>
      </c>
    </row>
    <row r="37" spans="8:13" x14ac:dyDescent="0.25">
      <c r="H37" s="33"/>
      <c r="I37" s="70"/>
      <c r="J37" s="74"/>
      <c r="K37" s="113">
        <v>1650</v>
      </c>
      <c r="L37" s="182" t="s">
        <v>217</v>
      </c>
      <c r="M37" t="s">
        <v>117</v>
      </c>
    </row>
    <row r="38" spans="8:13" x14ac:dyDescent="0.25">
      <c r="H38" s="33"/>
      <c r="K38" s="232"/>
      <c r="L38" s="232"/>
    </row>
    <row r="39" spans="8:13" x14ac:dyDescent="0.25">
      <c r="H39" s="33"/>
      <c r="I39" s="290" t="s">
        <v>228</v>
      </c>
      <c r="J39" s="290"/>
      <c r="K39" s="290"/>
      <c r="L39" s="290"/>
      <c r="M39" s="290"/>
    </row>
    <row r="40" spans="8:13" x14ac:dyDescent="0.25">
      <c r="I40" s="290" t="s">
        <v>229</v>
      </c>
      <c r="J40" s="290"/>
      <c r="K40" s="290"/>
      <c r="L40" s="290"/>
      <c r="M40" s="290"/>
    </row>
    <row r="41" spans="8:13" ht="15.75" thickBot="1" x14ac:dyDescent="0.3"/>
    <row r="42" spans="8:13" ht="15.75" thickBot="1" x14ac:dyDescent="0.3">
      <c r="H42" s="33"/>
      <c r="I42" s="279" t="s">
        <v>241</v>
      </c>
      <c r="J42" s="261"/>
      <c r="K42" s="261"/>
      <c r="L42" s="262"/>
    </row>
    <row r="43" spans="8:13" ht="15.75" thickBot="1" x14ac:dyDescent="0.3">
      <c r="H43" s="33"/>
      <c r="I43" s="260" t="s">
        <v>105</v>
      </c>
      <c r="J43" s="260"/>
      <c r="K43" s="260" t="s">
        <v>106</v>
      </c>
      <c r="L43" s="260"/>
    </row>
    <row r="44" spans="8:13" ht="15.75" thickBot="1" x14ac:dyDescent="0.3">
      <c r="H44" s="33"/>
      <c r="I44" s="240"/>
      <c r="J44" s="241"/>
      <c r="K44" s="240"/>
      <c r="L44" s="240"/>
    </row>
    <row r="45" spans="8:13" x14ac:dyDescent="0.25">
      <c r="H45" s="33"/>
      <c r="I45" s="65"/>
      <c r="J45" s="251"/>
      <c r="K45" s="246">
        <v>200000</v>
      </c>
      <c r="L45" s="245" t="s">
        <v>115</v>
      </c>
    </row>
    <row r="46" spans="8:13" x14ac:dyDescent="0.25">
      <c r="H46" s="33"/>
      <c r="I46" s="65"/>
      <c r="J46" s="248"/>
      <c r="K46" s="254">
        <v>50000</v>
      </c>
      <c r="L46" s="245" t="s">
        <v>221</v>
      </c>
    </row>
    <row r="47" spans="8:13" x14ac:dyDescent="0.25">
      <c r="H47" s="33"/>
      <c r="I47" s="65"/>
      <c r="J47" s="248"/>
      <c r="K47" s="249">
        <v>42000</v>
      </c>
      <c r="L47" s="231" t="s">
        <v>242</v>
      </c>
    </row>
    <row r="48" spans="8:13" x14ac:dyDescent="0.25">
      <c r="H48" s="33"/>
      <c r="I48" s="65" t="s">
        <v>243</v>
      </c>
      <c r="J48" s="247">
        <v>7000</v>
      </c>
      <c r="K48" s="249"/>
      <c r="L48" s="231"/>
    </row>
    <row r="49" spans="3:13" x14ac:dyDescent="0.25">
      <c r="H49" s="33"/>
      <c r="I49" s="65" t="s">
        <v>244</v>
      </c>
      <c r="J49" s="248">
        <v>3000</v>
      </c>
      <c r="K49" s="249"/>
      <c r="L49" s="231"/>
    </row>
    <row r="50" spans="3:13" ht="15.75" thickBot="1" x14ac:dyDescent="0.3">
      <c r="H50" s="33"/>
      <c r="I50" s="70" t="s">
        <v>245</v>
      </c>
      <c r="J50" s="250">
        <v>6000</v>
      </c>
      <c r="K50" s="252"/>
      <c r="L50" s="182"/>
    </row>
    <row r="51" spans="3:13" x14ac:dyDescent="0.25">
      <c r="H51" s="33"/>
      <c r="I51" s="70"/>
      <c r="J51" s="74"/>
      <c r="K51" s="253">
        <f>K45+K47-J48-J49-J50+K46</f>
        <v>276000</v>
      </c>
      <c r="L51" s="182"/>
    </row>
    <row r="52" spans="3:13" x14ac:dyDescent="0.25">
      <c r="H52" s="33"/>
      <c r="K52" s="232"/>
      <c r="L52" s="232"/>
    </row>
    <row r="53" spans="3:13" ht="15.75" thickBot="1" x14ac:dyDescent="0.3">
      <c r="H53" s="33"/>
      <c r="I53" s="290"/>
      <c r="J53" s="290"/>
      <c r="K53" s="290"/>
      <c r="L53" s="290"/>
      <c r="M53" s="290"/>
    </row>
    <row r="54" spans="3:13" ht="15.75" thickBot="1" x14ac:dyDescent="0.3">
      <c r="C54" s="279" t="s">
        <v>12</v>
      </c>
      <c r="D54" s="261"/>
      <c r="E54" s="261"/>
      <c r="F54" s="261"/>
      <c r="G54" s="261"/>
      <c r="H54" s="262"/>
      <c r="I54" s="290"/>
      <c r="J54" s="290"/>
      <c r="K54" s="290"/>
      <c r="L54" s="290"/>
      <c r="M54" s="290"/>
    </row>
    <row r="55" spans="3:13" ht="15.75" thickBot="1" x14ac:dyDescent="0.3">
      <c r="C55" s="260" t="s">
        <v>105</v>
      </c>
      <c r="D55" s="260"/>
      <c r="E55" s="260"/>
      <c r="F55" s="260" t="s">
        <v>106</v>
      </c>
      <c r="G55" s="260"/>
      <c r="H55" s="260"/>
    </row>
    <row r="56" spans="3:13" x14ac:dyDescent="0.25">
      <c r="C56" s="65" t="s">
        <v>107</v>
      </c>
      <c r="D56" s="66"/>
      <c r="E56" s="67" t="s">
        <v>108</v>
      </c>
      <c r="F56" s="65" t="s">
        <v>107</v>
      </c>
      <c r="G56" s="66"/>
      <c r="H56" s="68" t="s">
        <v>108</v>
      </c>
    </row>
    <row r="57" spans="3:13" x14ac:dyDescent="0.25">
      <c r="C57" s="70" t="s">
        <v>117</v>
      </c>
      <c r="D57" s="236" t="s">
        <v>115</v>
      </c>
      <c r="E57" s="148">
        <v>13500</v>
      </c>
      <c r="F57" s="70"/>
      <c r="G57" s="236"/>
      <c r="H57" s="73"/>
    </row>
    <row r="58" spans="3:13" ht="15.75" thickBot="1" x14ac:dyDescent="0.3">
      <c r="C58" s="70" t="s">
        <v>117</v>
      </c>
      <c r="D58" s="236" t="s">
        <v>116</v>
      </c>
      <c r="E58" s="148">
        <v>100000</v>
      </c>
      <c r="F58" s="110" t="s">
        <v>213</v>
      </c>
      <c r="G58" s="236" t="s">
        <v>126</v>
      </c>
      <c r="H58" s="73"/>
    </row>
    <row r="59" spans="3:13" x14ac:dyDescent="0.25">
      <c r="C59" s="74" t="s">
        <v>117</v>
      </c>
      <c r="D59" s="75" t="str">
        <f>IF(SUM(E57:E65)&gt;=SUM(H57:H65),"Bal","")</f>
        <v>Bal</v>
      </c>
      <c r="E59" s="255">
        <v>25000</v>
      </c>
      <c r="F59" s="74"/>
      <c r="G59" s="75" t="str">
        <f>IF(SUM(H57:H65)&gt;SUM(E57:E65),"Bal","")</f>
        <v/>
      </c>
      <c r="H59" s="76"/>
    </row>
    <row r="61" spans="3:13" x14ac:dyDescent="0.25">
      <c r="C61" s="290" t="s">
        <v>231</v>
      </c>
      <c r="D61" s="290"/>
      <c r="E61" s="290"/>
      <c r="F61" s="290"/>
      <c r="G61" s="290"/>
      <c r="H61" s="290"/>
    </row>
    <row r="62" spans="3:13" x14ac:dyDescent="0.25">
      <c r="C62" s="290" t="s">
        <v>232</v>
      </c>
      <c r="D62" s="290"/>
      <c r="E62" s="290"/>
      <c r="F62" s="290"/>
      <c r="G62" s="290"/>
      <c r="H62" s="290"/>
    </row>
    <row r="63" spans="3:13" x14ac:dyDescent="0.25">
      <c r="C63" s="290" t="s">
        <v>246</v>
      </c>
      <c r="D63" s="290"/>
      <c r="E63" s="290"/>
      <c r="F63" s="290"/>
      <c r="G63" s="290"/>
      <c r="H63" s="290"/>
    </row>
    <row r="65" spans="9:12" ht="15.75" thickBot="1" x14ac:dyDescent="0.3"/>
    <row r="66" spans="9:12" ht="15.75" thickBot="1" x14ac:dyDescent="0.3">
      <c r="I66" s="279" t="s">
        <v>241</v>
      </c>
      <c r="J66" s="261"/>
      <c r="K66" s="261"/>
      <c r="L66" s="262"/>
    </row>
    <row r="67" spans="9:12" ht="15.75" thickBot="1" x14ac:dyDescent="0.3">
      <c r="I67" s="260" t="s">
        <v>105</v>
      </c>
      <c r="J67" s="260"/>
      <c r="K67" s="260" t="s">
        <v>106</v>
      </c>
      <c r="L67" s="260"/>
    </row>
    <row r="68" spans="9:12" ht="15.75" thickBot="1" x14ac:dyDescent="0.3">
      <c r="I68" s="240"/>
      <c r="J68" s="241"/>
      <c r="K68" s="240"/>
      <c r="L68" s="240"/>
    </row>
    <row r="69" spans="9:12" x14ac:dyDescent="0.25">
      <c r="I69" s="65"/>
      <c r="J69" s="256"/>
      <c r="K69" s="257">
        <v>10000</v>
      </c>
      <c r="L69" s="245" t="s">
        <v>115</v>
      </c>
    </row>
    <row r="70" spans="9:12" x14ac:dyDescent="0.25">
      <c r="I70" s="65"/>
      <c r="J70" s="258"/>
      <c r="K70" s="259">
        <v>6000</v>
      </c>
      <c r="L70" s="245" t="s">
        <v>221</v>
      </c>
    </row>
    <row r="71" spans="9:12" x14ac:dyDescent="0.25">
      <c r="I71" s="65"/>
      <c r="J71" s="258"/>
      <c r="K71" s="237">
        <v>4000</v>
      </c>
      <c r="L71" s="231" t="s">
        <v>242</v>
      </c>
    </row>
    <row r="72" spans="9:12" x14ac:dyDescent="0.25">
      <c r="I72" s="65"/>
      <c r="J72" s="258"/>
      <c r="K72" s="237">
        <v>1000</v>
      </c>
      <c r="L72" s="231" t="s">
        <v>247</v>
      </c>
    </row>
    <row r="73" spans="9:12" ht="15.75" thickBot="1" x14ac:dyDescent="0.3">
      <c r="I73" s="65"/>
      <c r="J73" s="258">
        <v>600</v>
      </c>
      <c r="K73" s="237"/>
      <c r="L73" s="231"/>
    </row>
    <row r="74" spans="9:12" x14ac:dyDescent="0.25">
      <c r="I74" s="70"/>
      <c r="J74" s="113"/>
      <c r="K74" s="113">
        <f>K69+K70+K71+K72-J73</f>
        <v>20400</v>
      </c>
      <c r="L74" s="182"/>
    </row>
    <row r="75" spans="9:12" x14ac:dyDescent="0.25">
      <c r="J75" s="168"/>
      <c r="K75" s="168"/>
    </row>
  </sheetData>
  <mergeCells count="41">
    <mergeCell ref="I27:M27"/>
    <mergeCell ref="I29:M29"/>
    <mergeCell ref="I28:M28"/>
    <mergeCell ref="B24:G24"/>
    <mergeCell ref="K4:L4"/>
    <mergeCell ref="I10:M10"/>
    <mergeCell ref="I12:M12"/>
    <mergeCell ref="I19:L19"/>
    <mergeCell ref="I20:J20"/>
    <mergeCell ref="K20:L20"/>
    <mergeCell ref="B13:G13"/>
    <mergeCell ref="B14:D14"/>
    <mergeCell ref="E14:G14"/>
    <mergeCell ref="B22:G22"/>
    <mergeCell ref="B20:G20"/>
    <mergeCell ref="B21:G21"/>
    <mergeCell ref="B2:G2"/>
    <mergeCell ref="B3:D3"/>
    <mergeCell ref="E3:G3"/>
    <mergeCell ref="B10:G10"/>
    <mergeCell ref="I3:L3"/>
    <mergeCell ref="I4:J4"/>
    <mergeCell ref="I31:L31"/>
    <mergeCell ref="I32:J32"/>
    <mergeCell ref="K32:L32"/>
    <mergeCell ref="I39:M39"/>
    <mergeCell ref="I40:M40"/>
    <mergeCell ref="I42:L42"/>
    <mergeCell ref="I43:J43"/>
    <mergeCell ref="K43:L43"/>
    <mergeCell ref="I53:M53"/>
    <mergeCell ref="I54:M54"/>
    <mergeCell ref="C63:H63"/>
    <mergeCell ref="I66:L66"/>
    <mergeCell ref="I67:J67"/>
    <mergeCell ref="K67:L67"/>
    <mergeCell ref="C54:H54"/>
    <mergeCell ref="C55:E55"/>
    <mergeCell ref="F55:H55"/>
    <mergeCell ref="C61:H61"/>
    <mergeCell ref="C62:H6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0:I31"/>
  <sheetViews>
    <sheetView workbookViewId="0">
      <selection activeCell="B25" sqref="B25"/>
    </sheetView>
  </sheetViews>
  <sheetFormatPr defaultRowHeight="15" x14ac:dyDescent="0.25"/>
  <cols>
    <col min="7" max="7" width="14.5703125" bestFit="1" customWidth="1"/>
  </cols>
  <sheetData>
    <row r="20" spans="7:9" x14ac:dyDescent="0.25">
      <c r="G20" s="221"/>
      <c r="H20" s="222" t="s">
        <v>236</v>
      </c>
      <c r="I20" s="222" t="s">
        <v>237</v>
      </c>
    </row>
    <row r="21" spans="7:9" x14ac:dyDescent="0.25">
      <c r="G21" s="221" t="s">
        <v>233</v>
      </c>
      <c r="H21" s="221">
        <v>120</v>
      </c>
      <c r="I21" s="221">
        <v>300</v>
      </c>
    </row>
    <row r="22" spans="7:9" x14ac:dyDescent="0.25">
      <c r="G22" s="221" t="s">
        <v>17</v>
      </c>
      <c r="H22" s="221">
        <v>70</v>
      </c>
      <c r="I22" s="221">
        <v>140</v>
      </c>
    </row>
    <row r="23" spans="7:9" x14ac:dyDescent="0.25">
      <c r="G23" s="221" t="s">
        <v>21</v>
      </c>
      <c r="H23" s="221">
        <v>25</v>
      </c>
      <c r="I23" s="221">
        <v>40</v>
      </c>
    </row>
    <row r="24" spans="7:9" x14ac:dyDescent="0.25">
      <c r="G24" s="221" t="s">
        <v>234</v>
      </c>
      <c r="H24" s="242">
        <f>H22-H23</f>
        <v>45</v>
      </c>
      <c r="I24" s="242">
        <f>I22-I23</f>
        <v>100</v>
      </c>
    </row>
    <row r="25" spans="7:9" x14ac:dyDescent="0.25">
      <c r="G25" s="221"/>
      <c r="H25" s="221"/>
      <c r="I25" s="221"/>
    </row>
    <row r="26" spans="7:9" x14ac:dyDescent="0.25">
      <c r="G26" s="221" t="s">
        <v>235</v>
      </c>
      <c r="H26" s="243">
        <f>H21/H22</f>
        <v>1.7142857142857142</v>
      </c>
      <c r="I26" s="243">
        <f t="shared" ref="I26" si="0">I21/I22</f>
        <v>2.1428571428571428</v>
      </c>
    </row>
    <row r="27" spans="7:9" x14ac:dyDescent="0.25">
      <c r="G27" s="221" t="s">
        <v>238</v>
      </c>
      <c r="H27" s="243">
        <f>H22/H24</f>
        <v>1.5555555555555556</v>
      </c>
      <c r="I27" s="243">
        <f>I22/I24</f>
        <v>1.4</v>
      </c>
    </row>
    <row r="28" spans="7:9" x14ac:dyDescent="0.25">
      <c r="G28" s="221"/>
      <c r="H28" s="221"/>
      <c r="I28" s="221"/>
    </row>
    <row r="29" spans="7:9" x14ac:dyDescent="0.25">
      <c r="G29" s="221" t="s">
        <v>240</v>
      </c>
      <c r="H29" s="243">
        <f>H26*H27</f>
        <v>2.6666666666666665</v>
      </c>
      <c r="I29" s="243">
        <f>I26*I27</f>
        <v>2.9999999999999996</v>
      </c>
    </row>
    <row r="31" spans="7:9" x14ac:dyDescent="0.25">
      <c r="G31" s="290" t="s">
        <v>239</v>
      </c>
      <c r="H31" s="290"/>
      <c r="I31" s="290"/>
    </row>
  </sheetData>
  <mergeCells count="1">
    <mergeCell ref="G31:I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CFA 3.2 Direct</vt:lpstr>
      <vt:lpstr>CFA 3.2 Indirect</vt:lpstr>
      <vt:lpstr>Inventory T Accounts</vt:lpstr>
      <vt:lpstr>Derecognition</vt:lpstr>
      <vt:lpstr>AR n RE</vt:lpstr>
      <vt:lpstr>ROE</vt:lpstr>
      <vt:lpstr>'CFA 3.2 Direct'!Print_Area</vt:lpstr>
      <vt:lpstr>'CFA 3.2 Indirect'!Print_Area</vt:lpstr>
    </vt:vector>
  </TitlesOfParts>
  <Company>HCT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Ted</cp:lastModifiedBy>
  <dcterms:created xsi:type="dcterms:W3CDTF">2015-10-25T07:32:09Z</dcterms:created>
  <dcterms:modified xsi:type="dcterms:W3CDTF">2015-11-08T12:07:30Z</dcterms:modified>
</cp:coreProperties>
</file>